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rjobroertjes/Documents/WVS/Communicatie/Content/"/>
    </mc:Choice>
  </mc:AlternateContent>
  <xr:revisionPtr revIDLastSave="0" documentId="8_{FE650612-86F0-F34B-BDB6-D27C88CDBA7E}" xr6:coauthVersionLast="47" xr6:coauthVersionMax="47" xr10:uidLastSave="{00000000-0000-0000-0000-000000000000}"/>
  <workbookProtection workbookAlgorithmName="SHA-512" workbookHashValue="wiagGJTUzDShpOIfKewwYLx+eQrYEpNHGa9wObprKmxcH/ZtE0Bt30DtX1SS+wVqc1UUf25vzvjkU+V/+JFHcw==" workbookSaltValue="PdQIJ4PsPAquCSTNH/TS8w==" workbookSpinCount="100000" lockStructure="1"/>
  <bookViews>
    <workbookView xWindow="0" yWindow="740" windowWidth="19420" windowHeight="10300" xr2:uid="{00000000-000D-0000-FFFF-FFFF00000000}"/>
  </bookViews>
  <sheets>
    <sheet name="Rekentool WVS-tarieven" sheetId="1" r:id="rId1"/>
    <sheet name="Tariev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5" i="2" l="1"/>
  <c r="J64" i="2"/>
  <c r="I61" i="2"/>
  <c r="I46" i="2"/>
  <c r="I19" i="2"/>
  <c r="H61" i="2"/>
  <c r="H46" i="2"/>
  <c r="H19" i="2"/>
  <c r="H13" i="2"/>
  <c r="M5" i="1"/>
  <c r="N31" i="1"/>
  <c r="I31" i="1" l="1"/>
  <c r="M7" i="1" l="1"/>
  <c r="M6" i="1"/>
  <c r="H6" i="1" s="1"/>
  <c r="O7" i="1"/>
  <c r="I41" i="1"/>
  <c r="I40" i="1"/>
  <c r="I39" i="1"/>
  <c r="I38" i="1"/>
  <c r="H41" i="1"/>
  <c r="H40" i="1"/>
  <c r="H39" i="1"/>
  <c r="H38" i="1"/>
  <c r="H35" i="1"/>
  <c r="J19" i="2"/>
  <c r="O21" i="1"/>
  <c r="N25" i="1" l="1"/>
  <c r="I25" i="1" s="1"/>
  <c r="M19" i="1"/>
  <c r="M31" i="1" s="1"/>
  <c r="H31" i="1" s="1"/>
  <c r="B2" i="1" l="1"/>
  <c r="N41" i="1" l="1"/>
  <c r="N40" i="1"/>
  <c r="N39" i="1"/>
  <c r="N38" i="1"/>
  <c r="M41" i="1"/>
  <c r="M40" i="1"/>
  <c r="M39" i="1"/>
  <c r="M38" i="1"/>
  <c r="N13" i="1" l="1"/>
  <c r="M13" i="1"/>
  <c r="H13" i="1" s="1"/>
  <c r="P12" i="1"/>
  <c r="O12" i="1"/>
  <c r="N12" i="1"/>
  <c r="I12" i="1" s="1"/>
  <c r="M12" i="1"/>
  <c r="H12" i="1" s="1"/>
  <c r="P10" i="1"/>
  <c r="O10" i="1"/>
  <c r="N10" i="1"/>
  <c r="I10" i="1" s="1"/>
  <c r="M10" i="1"/>
  <c r="H10" i="1" s="1"/>
  <c r="N35" i="1"/>
  <c r="I35" i="1" s="1"/>
  <c r="M35" i="1"/>
  <c r="N33" i="1"/>
  <c r="N29" i="1"/>
  <c r="N28" i="1"/>
  <c r="N27" i="1"/>
  <c r="N24" i="1"/>
  <c r="I24" i="1" s="1"/>
  <c r="M24" i="1"/>
  <c r="H24" i="1" s="1"/>
  <c r="N23" i="1"/>
  <c r="N21" i="1"/>
  <c r="P7" i="1"/>
  <c r="N7" i="1"/>
  <c r="I7" i="1" s="1"/>
  <c r="H7" i="1"/>
  <c r="N6" i="1"/>
  <c r="I6" i="1" s="1"/>
  <c r="N5" i="1"/>
  <c r="I5" i="1" s="1"/>
  <c r="H5" i="1"/>
  <c r="J61" i="2"/>
  <c r="G61" i="2"/>
  <c r="J46" i="2"/>
  <c r="G46" i="2"/>
  <c r="G19" i="2"/>
  <c r="G13" i="2"/>
  <c r="I13" i="1"/>
  <c r="O33" i="1"/>
  <c r="O29" i="1"/>
  <c r="O28" i="1"/>
  <c r="O27" i="1"/>
  <c r="O23" i="1"/>
  <c r="I23" i="1" s="1"/>
  <c r="I18" i="1"/>
  <c r="M33" i="1" l="1"/>
  <c r="H33" i="1" s="1"/>
  <c r="M25" i="1"/>
  <c r="H25" i="1" s="1"/>
  <c r="M29" i="1"/>
  <c r="M23" i="1"/>
  <c r="H23" i="1" s="1"/>
  <c r="M27" i="1"/>
  <c r="M21" i="1"/>
  <c r="M28" i="1"/>
  <c r="H28" i="1" s="1"/>
  <c r="H27" i="1" l="1"/>
  <c r="I27" i="1" s="1"/>
  <c r="H29" i="1"/>
  <c r="I29" i="1" s="1"/>
  <c r="H21" i="1"/>
  <c r="I33" i="1"/>
  <c r="I21" i="1" l="1"/>
  <c r="H43" i="1"/>
  <c r="I28" i="1"/>
</calcChain>
</file>

<file path=xl/sharedStrings.xml><?xml version="1.0" encoding="utf-8"?>
<sst xmlns="http://schemas.openxmlformats.org/spreadsheetml/2006/main" count="182" uniqueCount="139">
  <si>
    <t>Tarief</t>
  </si>
  <si>
    <t>Omschrijving/Opmerking</t>
  </si>
  <si>
    <t>Algemeen</t>
  </si>
  <si>
    <t>Ik was vorig jaar ook al lid van de vereniging</t>
  </si>
  <si>
    <t>Nee</t>
  </si>
  <si>
    <t>Ik ben ouder dan 18 jaar (of word dit jaar 18)</t>
  </si>
  <si>
    <t>Haven</t>
  </si>
  <si>
    <t>LET OP: deze keuze is niet mogelijk als niet-actief lid</t>
  </si>
  <si>
    <t>Afmeting van de boot (lengte x breedte in meters)</t>
  </si>
  <si>
    <t>x</t>
  </si>
  <si>
    <t>LET OP: Vul eerst de lengte dan de breedte in</t>
  </si>
  <si>
    <t>Ik wil een zomerligplaats voor mijn boot</t>
  </si>
  <si>
    <t>Ik woon in Aalsmeer of Kudelstaart</t>
  </si>
  <si>
    <t>Ik wil een winterligplaats voor mijn boot (in het water)</t>
  </si>
  <si>
    <t>LET OP: er kan slechts 1 vorm van winterstalling worden gekozen</t>
  </si>
  <si>
    <t>Ik wil winterstalling voor mijn boot (buiten op het parkeerterrein)</t>
  </si>
  <si>
    <t>Ik wil winterstalling voor mijn boot (in de loods)</t>
  </si>
  <si>
    <t>Mijn boot moet met de kraan op de wal worden gehesen</t>
  </si>
  <si>
    <t>LET OP: hijsen kan niet in combinatie met een water ligplaats</t>
  </si>
  <si>
    <t>Ik wil een Surf- of SUP-plank stallen (zomer óf winter)</t>
  </si>
  <si>
    <t>Zeilen</t>
  </si>
  <si>
    <t>Ik wil zeilen</t>
  </si>
  <si>
    <t>LET OP: er kan slechts 1 vorm van instructie worden gekozen</t>
  </si>
  <si>
    <t>Ik kan al zeilen (CWO2) en wil een verkorte cursus</t>
  </si>
  <si>
    <t>LET OP: een verkorte cursus is niet beschikbaar voor jeugd</t>
  </si>
  <si>
    <t>Overig</t>
  </si>
  <si>
    <t>Ik wil de sloep 1 dagdeel huren</t>
  </si>
  <si>
    <t>Ik wil de sloep 2 aansluitende dagdelen huren</t>
  </si>
  <si>
    <t>Ik wil het Scholletjesbos een week huren</t>
  </si>
  <si>
    <t>Ik wil het Scholletjesbos een midweek of weekend huren</t>
  </si>
  <si>
    <t xml:space="preserve">TE BETALEN:  </t>
  </si>
  <si>
    <t>Contributie</t>
  </si>
  <si>
    <r>
      <t xml:space="preserve">Vereniging </t>
    </r>
    <r>
      <rPr>
        <b/>
        <i/>
        <sz val="10"/>
        <rFont val="Verdana"/>
        <family val="2"/>
      </rPr>
      <t>(vrijgesteld van BTW)</t>
    </r>
  </si>
  <si>
    <t>Verenigingscontributie volwassenen</t>
  </si>
  <si>
    <t>per jaar</t>
  </si>
  <si>
    <t>Verenigingscontributie jeugd</t>
  </si>
  <si>
    <t>Inschrijfgeld</t>
  </si>
  <si>
    <t>eenmalig</t>
  </si>
  <si>
    <t xml:space="preserve">Administratiekosten bij geweigerde incasso </t>
  </si>
  <si>
    <t>per keer</t>
  </si>
  <si>
    <t>Borg toegangspas</t>
  </si>
  <si>
    <t>per pas, retour bij inlevering pas</t>
  </si>
  <si>
    <t>n.v.t.</t>
  </si>
  <si>
    <t>Vervanging defecte pas</t>
  </si>
  <si>
    <t>per pas, bij inlevering defecte pas</t>
  </si>
  <si>
    <r>
      <t xml:space="preserve">Haven </t>
    </r>
    <r>
      <rPr>
        <b/>
        <i/>
        <sz val="10"/>
        <rFont val="Verdana"/>
        <family val="2"/>
      </rPr>
      <t>(incl. 21% BTW</t>
    </r>
    <r>
      <rPr>
        <b/>
        <i/>
        <vertAlign val="superscript"/>
        <sz val="10"/>
        <rFont val="Verdana"/>
        <family val="2"/>
      </rPr>
      <t>(2)</t>
    </r>
    <r>
      <rPr>
        <b/>
        <i/>
        <sz val="10"/>
        <rFont val="Verdana"/>
        <family val="2"/>
      </rPr>
      <t>)</t>
    </r>
  </si>
  <si>
    <t>Entreegelden haven</t>
  </si>
  <si>
    <r>
      <t>eenmalig per m</t>
    </r>
    <r>
      <rPr>
        <vertAlign val="superscript"/>
        <sz val="10"/>
        <rFont val="Verdana"/>
        <family val="2"/>
      </rPr>
      <t>2</t>
    </r>
    <r>
      <rPr>
        <sz val="10"/>
        <rFont val="Verdana"/>
        <family val="2"/>
      </rPr>
      <t xml:space="preserve"> schip</t>
    </r>
  </si>
  <si>
    <r>
      <t>Zeilen</t>
    </r>
    <r>
      <rPr>
        <b/>
        <i/>
        <sz val="10"/>
        <rFont val="Verdana"/>
        <family val="2"/>
      </rPr>
      <t xml:space="preserve"> (vrijgesteld van BTW)</t>
    </r>
  </si>
  <si>
    <t>Zeillidmaatschap, volwassenen</t>
  </si>
  <si>
    <t>Zeillidmaatschap, jeugd</t>
  </si>
  <si>
    <r>
      <t>Tarieven Haven</t>
    </r>
    <r>
      <rPr>
        <b/>
        <i/>
        <sz val="10"/>
        <rFont val="Verdana"/>
        <family val="2"/>
      </rPr>
      <t xml:space="preserve"> (alleen voor havenleden WVS)</t>
    </r>
  </si>
  <si>
    <r>
      <t>Liggelden</t>
    </r>
    <r>
      <rPr>
        <b/>
        <vertAlign val="superscript"/>
        <sz val="10"/>
        <rFont val="Verdana"/>
        <family val="2"/>
      </rPr>
      <t>(3)</t>
    </r>
    <r>
      <rPr>
        <b/>
        <i/>
        <sz val="10"/>
        <rFont val="Verdana"/>
        <family val="2"/>
      </rPr>
      <t xml:space="preserve"> (incl. 21% BTW</t>
    </r>
    <r>
      <rPr>
        <b/>
        <i/>
        <vertAlign val="superscript"/>
        <sz val="10"/>
        <rFont val="Verdana"/>
        <family val="2"/>
      </rPr>
      <t>(2)</t>
    </r>
    <r>
      <rPr>
        <b/>
        <i/>
        <sz val="10"/>
        <rFont val="Verdana"/>
        <family val="2"/>
      </rPr>
      <t xml:space="preserve">) </t>
    </r>
  </si>
  <si>
    <r>
      <t>per m</t>
    </r>
    <r>
      <rPr>
        <vertAlign val="superscript"/>
        <sz val="10"/>
        <rFont val="Verdana"/>
        <family val="2"/>
      </rPr>
      <t>2</t>
    </r>
    <r>
      <rPr>
        <sz val="10"/>
        <rFont val="Verdana"/>
        <family val="2"/>
      </rPr>
      <t xml:space="preserve"> box</t>
    </r>
  </si>
  <si>
    <t>Zomer / loods, parkeerterrein, jollenhelling of rek</t>
  </si>
  <si>
    <r>
      <t>per m</t>
    </r>
    <r>
      <rPr>
        <vertAlign val="superscript"/>
        <sz val="10"/>
        <rFont val="Verdana"/>
        <family val="2"/>
      </rPr>
      <t>2</t>
    </r>
    <r>
      <rPr>
        <sz val="10"/>
        <rFont val="Verdana"/>
        <family val="2"/>
      </rPr>
      <t xml:space="preserve"> schip of (lege) trailer</t>
    </r>
  </si>
  <si>
    <t>Surf-of SUP-plank</t>
  </si>
  <si>
    <t>per plank</t>
  </si>
  <si>
    <t>Winterligplaats (water)</t>
  </si>
  <si>
    <r>
      <t>per m</t>
    </r>
    <r>
      <rPr>
        <vertAlign val="superscript"/>
        <sz val="10"/>
        <rFont val="Verdana"/>
        <family val="2"/>
      </rPr>
      <t>2</t>
    </r>
    <r>
      <rPr>
        <sz val="10"/>
        <rFont val="Verdana"/>
        <family val="2"/>
      </rPr>
      <t xml:space="preserve"> schip</t>
    </r>
  </si>
  <si>
    <t>Winterstalling (loods)</t>
  </si>
  <si>
    <r>
      <t>per m</t>
    </r>
    <r>
      <rPr>
        <vertAlign val="superscript"/>
        <sz val="10"/>
        <rFont val="Verdana"/>
        <family val="2"/>
      </rPr>
      <t>2</t>
    </r>
    <r>
      <rPr>
        <sz val="10"/>
        <rFont val="Verdana"/>
        <family val="2"/>
      </rPr>
      <t xml:space="preserve"> schip of trailer</t>
    </r>
  </si>
  <si>
    <t>Winterstalling (land)</t>
  </si>
  <si>
    <t>Winter / land overdekt (ruimte tussen loodsen)</t>
  </si>
  <si>
    <t>Winter / Surf- of SUP-plank</t>
  </si>
  <si>
    <r>
      <t>Watertoeristenbelasting</t>
    </r>
    <r>
      <rPr>
        <sz val="10"/>
        <rFont val="Verdana"/>
        <family val="2"/>
      </rPr>
      <t xml:space="preserve"> (n.v.t. voor inwoners van Aalsmeer en Kudelstaart)</t>
    </r>
  </si>
  <si>
    <t>Waterverblijfsbelasting Aalsmeer</t>
  </si>
  <si>
    <t>4-8 meter, per jaar per boot</t>
  </si>
  <si>
    <t>Bootlengte 8-12 meter</t>
  </si>
  <si>
    <t>per jaar per boot</t>
  </si>
  <si>
    <t>Bootlengte &gt;12 meter</t>
  </si>
  <si>
    <r>
      <t xml:space="preserve">Faciliteiten </t>
    </r>
    <r>
      <rPr>
        <b/>
        <i/>
        <sz val="10"/>
        <rFont val="Verdana"/>
        <family val="2"/>
      </rPr>
      <t>(incl. 21% BTW</t>
    </r>
    <r>
      <rPr>
        <b/>
        <i/>
        <vertAlign val="superscript"/>
        <sz val="10"/>
        <rFont val="Verdana"/>
        <family val="2"/>
      </rPr>
      <t>(2)</t>
    </r>
    <r>
      <rPr>
        <b/>
        <i/>
        <sz val="10"/>
        <rFont val="Verdana"/>
        <family val="2"/>
      </rPr>
      <t xml:space="preserve">) </t>
    </r>
  </si>
  <si>
    <t>Elektra</t>
  </si>
  <si>
    <t>per box / per zomerseizoen</t>
  </si>
  <si>
    <t>per box / per winterseizoen</t>
  </si>
  <si>
    <t>Hellingkosten (incl. gebruik hogedrukspuit en verplaatsen)</t>
  </si>
  <si>
    <r>
      <t>per m</t>
    </r>
    <r>
      <rPr>
        <vertAlign val="superscript"/>
        <sz val="10"/>
        <rFont val="Verdana"/>
        <family val="2"/>
      </rPr>
      <t>2</t>
    </r>
    <r>
      <rPr>
        <sz val="10"/>
        <rFont val="Verdana"/>
        <family val="2"/>
      </rPr>
      <t xml:space="preserve"> schip, uit </t>
    </r>
    <r>
      <rPr>
        <u/>
        <sz val="10"/>
        <rFont val="Verdana"/>
        <family val="2"/>
      </rPr>
      <t>en</t>
    </r>
    <r>
      <rPr>
        <sz val="10"/>
        <rFont val="Verdana"/>
        <family val="2"/>
      </rPr>
      <t xml:space="preserve"> in het water </t>
    </r>
  </si>
  <si>
    <r>
      <t xml:space="preserve">Incidenteel gebruik havenfaciliteiten </t>
    </r>
    <r>
      <rPr>
        <b/>
        <i/>
        <sz val="10"/>
        <rFont val="Verdana"/>
        <family val="2"/>
      </rPr>
      <t xml:space="preserve"> (incl. 21% BTW</t>
    </r>
    <r>
      <rPr>
        <b/>
        <i/>
        <vertAlign val="superscript"/>
        <sz val="10"/>
        <rFont val="Verdana"/>
        <family val="2"/>
      </rPr>
      <t>(2)</t>
    </r>
    <r>
      <rPr>
        <b/>
        <i/>
        <sz val="10"/>
        <rFont val="Verdana"/>
        <family val="2"/>
      </rPr>
      <t>)</t>
    </r>
    <r>
      <rPr>
        <b/>
        <sz val="10"/>
        <rFont val="Verdana"/>
        <family val="2"/>
      </rPr>
      <t xml:space="preserve"> </t>
    </r>
  </si>
  <si>
    <t>Zomerliggeld loods/parkeerterrein (maximaal 14 dgn)</t>
  </si>
  <si>
    <r>
      <t>per m</t>
    </r>
    <r>
      <rPr>
        <vertAlign val="superscript"/>
        <sz val="10"/>
        <rFont val="Verdana"/>
        <family val="2"/>
      </rPr>
      <t>2</t>
    </r>
    <r>
      <rPr>
        <sz val="10"/>
        <rFont val="Verdana"/>
        <family val="2"/>
      </rPr>
      <t xml:space="preserve"> schip, per dag </t>
    </r>
  </si>
  <si>
    <t>Gebruik hogedrukspuit</t>
  </si>
  <si>
    <t>Kraantarief schepen</t>
  </si>
  <si>
    <r>
      <t>per m</t>
    </r>
    <r>
      <rPr>
        <vertAlign val="superscript"/>
        <sz val="10"/>
        <rFont val="Verdana"/>
        <family val="2"/>
      </rPr>
      <t>2</t>
    </r>
    <r>
      <rPr>
        <sz val="10"/>
        <rFont val="Verdana"/>
        <family val="2"/>
      </rPr>
      <t xml:space="preserve"> schip, per keer uit </t>
    </r>
    <r>
      <rPr>
        <u/>
        <sz val="10"/>
        <rFont val="Verdana"/>
        <family val="2"/>
      </rPr>
      <t>of</t>
    </r>
    <r>
      <rPr>
        <sz val="10"/>
        <rFont val="Verdana"/>
        <family val="2"/>
      </rPr>
      <t xml:space="preserve"> in het water</t>
    </r>
  </si>
  <si>
    <t>Kraantarief overig kraangebruik</t>
  </si>
  <si>
    <t>per 15 minuten</t>
  </si>
  <si>
    <t>Verplaatsen</t>
  </si>
  <si>
    <t>per schip</t>
  </si>
  <si>
    <r>
      <t>Tarieven Zeilen</t>
    </r>
    <r>
      <rPr>
        <b/>
        <i/>
        <sz val="10"/>
        <rFont val="Verdana"/>
        <family val="2"/>
      </rPr>
      <t xml:space="preserve"> (alleen voor zeilleden WVS)</t>
    </r>
  </si>
  <si>
    <r>
      <t xml:space="preserve">Instructie </t>
    </r>
    <r>
      <rPr>
        <b/>
        <i/>
        <sz val="10"/>
        <rFont val="Verdana"/>
        <family val="2"/>
      </rPr>
      <t>(vrijgesteld van BTW)</t>
    </r>
  </si>
  <si>
    <t>4 keer, inclusief examen</t>
  </si>
  <si>
    <t>Korting op jeugdinstructie bij gebruik eigen Optimist</t>
  </si>
  <si>
    <t>Instructie kajuitjacht</t>
  </si>
  <si>
    <r>
      <t xml:space="preserve">Gebruik boten </t>
    </r>
    <r>
      <rPr>
        <b/>
        <i/>
        <sz val="10"/>
        <rFont val="Verdana"/>
        <family val="2"/>
      </rPr>
      <t xml:space="preserve"> (vrijgesteld van BTW)</t>
    </r>
  </si>
  <si>
    <r>
      <t>Verenigingszeilboten</t>
    </r>
    <r>
      <rPr>
        <sz val="10"/>
        <color rgb="FFFF0000"/>
        <rFont val="Verdana"/>
        <family val="2"/>
      </rPr>
      <t/>
    </r>
  </si>
  <si>
    <t>Kajuitjacht 's ochtends/'s middags/'s avonds</t>
  </si>
  <si>
    <t>per dagdeel</t>
  </si>
  <si>
    <t>Kajuitjacht</t>
  </si>
  <si>
    <t>per dag</t>
  </si>
  <si>
    <t>Eigen risico bij schade</t>
  </si>
  <si>
    <t>per gebeurtenis</t>
  </si>
  <si>
    <t>Overige tarieven</t>
  </si>
  <si>
    <r>
      <t xml:space="preserve">Scholletjesbos </t>
    </r>
    <r>
      <rPr>
        <b/>
        <i/>
        <sz val="10"/>
        <rFont val="Verdana"/>
        <family val="2"/>
      </rPr>
      <t>(incl. 6% BTW, alleen voor leden WVS)</t>
    </r>
  </si>
  <si>
    <r>
      <t>per week</t>
    </r>
    <r>
      <rPr>
        <vertAlign val="superscript"/>
        <sz val="10"/>
        <rFont val="Verdana"/>
        <family val="2"/>
      </rPr>
      <t>(5)</t>
    </r>
  </si>
  <si>
    <r>
      <t>per weekend/midweek</t>
    </r>
    <r>
      <rPr>
        <vertAlign val="superscript"/>
        <sz val="10"/>
        <rFont val="Verdana"/>
        <family val="2"/>
      </rPr>
      <t>(5)</t>
    </r>
  </si>
  <si>
    <t>Aanbetaling bij reservering</t>
  </si>
  <si>
    <r>
      <t>per reservering, verrekend met betaling verblijf</t>
    </r>
    <r>
      <rPr>
        <vertAlign val="superscript"/>
        <sz val="10"/>
        <rFont val="Verdana"/>
        <family val="2"/>
      </rPr>
      <t>(6)</t>
    </r>
  </si>
  <si>
    <t>per huurperiode</t>
  </si>
  <si>
    <t>Verenigingssloep</t>
  </si>
  <si>
    <t>Gebruik</t>
  </si>
  <si>
    <t>per dagdeel ('s ochtends, 's middags, 's avonds)</t>
  </si>
  <si>
    <t>per 2 aansluitende dagdelen</t>
  </si>
  <si>
    <r>
      <t xml:space="preserve">Gastgebruik haven </t>
    </r>
    <r>
      <rPr>
        <b/>
        <i/>
        <sz val="10"/>
        <rFont val="Verdana"/>
        <family val="2"/>
      </rPr>
      <t>(incl. 21% BTW)</t>
    </r>
  </si>
  <si>
    <t>Liggeld</t>
  </si>
  <si>
    <t>per dag per m LOA</t>
  </si>
  <si>
    <t>Watertoeristenbelasting passanten</t>
  </si>
  <si>
    <t>per persoon per verblijf (elke kalenderdag is 1 verblijf)</t>
  </si>
  <si>
    <t>Verenigingssloep per dagdeel</t>
  </si>
  <si>
    <t>Verenigingssloep per 2 aansluitende dagdelen</t>
  </si>
  <si>
    <t>Scholletjesbos per week</t>
  </si>
  <si>
    <t>Scholletjesbos per weekend/midweek</t>
  </si>
  <si>
    <t>Er kunnen geen rechten aan worden ontleend</t>
  </si>
  <si>
    <t>Al eerder betaald dit jaar</t>
  </si>
  <si>
    <t>&lt;&lt;&lt; Scroll naar beneden voor meer keuzes en totaalbedrag</t>
  </si>
  <si>
    <t>Ik wil elektriciteit gebruiken</t>
  </si>
  <si>
    <t>Ik wil  elektriciteit gebruiken</t>
  </si>
  <si>
    <t>LET OP: Vul eerst hierboven de afmetingen van de boot in</t>
  </si>
  <si>
    <t>Walstroom per zomerseizoen</t>
  </si>
  <si>
    <t>Walstroom per winterseizoen</t>
  </si>
  <si>
    <t>Het betreft een zeilboot, zeiljacht of niet-gemotoriseerde roeiboot</t>
  </si>
  <si>
    <t>Instructie, volwassenen (per jaar)</t>
  </si>
  <si>
    <t>Instructie, jeugd (per jaar)</t>
  </si>
  <si>
    <t>Verkorte cursus, volwassenen (4 lessen)</t>
  </si>
  <si>
    <t>Ik wil zeilinstructie; ik heb nog geen WVS schippersbevoegdheid</t>
  </si>
  <si>
    <t>Zomerliggeld (o.b.v. schatting van de benodigde boxmaat)</t>
  </si>
  <si>
    <t>Ik had vorig jaar ook een zomerligplaats voor mijn boot bij de WVS</t>
  </si>
  <si>
    <t>Ik wil een zomerligplaats, winterstalling, of een Surf/SUP-plank stallen</t>
  </si>
  <si>
    <t>Ja</t>
  </si>
  <si>
    <r>
      <t xml:space="preserve">Ik ben ondersteunend lid </t>
    </r>
    <r>
      <rPr>
        <i/>
        <sz val="9"/>
        <color theme="4" tint="-0.499984740745262"/>
        <rFont val="Verdana"/>
        <family val="2"/>
      </rPr>
      <t>(zie huishoudelijk reglement, inclusief wachtlijst haven)</t>
    </r>
  </si>
  <si>
    <t>Vereningscontributie ondersteunend 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</si>
</sst>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5" x14ac:knownFonts="1"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i/>
      <sz val="10"/>
      <name val="Verdana"/>
      <family val="2"/>
    </font>
    <font>
      <sz val="10"/>
      <color rgb="FF00B050"/>
      <name val="Verdana"/>
      <family val="2"/>
    </font>
    <font>
      <b/>
      <i/>
      <vertAlign val="superscript"/>
      <sz val="10"/>
      <name val="Verdana"/>
      <family val="2"/>
    </font>
    <font>
      <sz val="10"/>
      <color rgb="FFFF0000"/>
      <name val="Verdana"/>
      <family val="2"/>
    </font>
    <font>
      <vertAlign val="superscript"/>
      <sz val="10"/>
      <name val="Verdana"/>
      <family val="2"/>
    </font>
    <font>
      <b/>
      <vertAlign val="superscript"/>
      <sz val="10"/>
      <name val="Verdana"/>
      <family val="2"/>
    </font>
    <font>
      <u/>
      <sz val="10"/>
      <name val="Verdana"/>
      <family val="2"/>
    </font>
    <font>
      <strike/>
      <sz val="10"/>
      <color rgb="FFFF0000"/>
      <name val="Verdana"/>
      <family val="2"/>
    </font>
    <font>
      <sz val="11"/>
      <name val="Calibri"/>
      <family val="2"/>
      <scheme val="minor"/>
    </font>
    <font>
      <sz val="9"/>
      <color rgb="FFFF0000"/>
      <name val="Verdana"/>
      <family val="2"/>
    </font>
    <font>
      <b/>
      <sz val="10"/>
      <color rgb="FFFF0000"/>
      <name val="Verdana"/>
      <family val="2"/>
    </font>
    <font>
      <b/>
      <i/>
      <sz val="10"/>
      <color theme="4" tint="-0.499984740745262"/>
      <name val="Verdana"/>
      <family val="2"/>
    </font>
    <font>
      <b/>
      <sz val="11"/>
      <color theme="4" tint="-0.499984740745262"/>
      <name val="Verdana"/>
      <family val="2"/>
    </font>
    <font>
      <i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9"/>
      <color theme="4" tint="-0.499984740745262"/>
      <name val="Verdana"/>
      <family val="2"/>
    </font>
    <font>
      <b/>
      <sz val="9"/>
      <color theme="4" tint="-0.499984740745262"/>
      <name val="Verdana"/>
      <family val="2"/>
    </font>
    <font>
      <i/>
      <sz val="9"/>
      <color theme="4" tint="-0.499984740745262"/>
      <name val="Verdana"/>
      <family val="2"/>
    </font>
    <font>
      <strike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/>
    <xf numFmtId="0" fontId="4" fillId="0" borderId="0" xfId="0" applyFont="1"/>
    <xf numFmtId="0" fontId="5" fillId="0" borderId="5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7" fillId="0" borderId="0" xfId="0" applyFont="1"/>
    <xf numFmtId="2" fontId="4" fillId="0" borderId="5" xfId="0" applyNumberFormat="1" applyFont="1" applyBorder="1"/>
    <xf numFmtId="2" fontId="4" fillId="0" borderId="5" xfId="0" applyNumberFormat="1" applyFont="1" applyBorder="1" applyAlignment="1">
      <alignment horizontal="right"/>
    </xf>
    <xf numFmtId="2" fontId="9" fillId="0" borderId="5" xfId="0" applyNumberFormat="1" applyFont="1" applyBorder="1"/>
    <xf numFmtId="0" fontId="4" fillId="0" borderId="6" xfId="0" applyFont="1" applyBorder="1"/>
    <xf numFmtId="0" fontId="4" fillId="0" borderId="7" xfId="0" applyFont="1" applyBorder="1"/>
    <xf numFmtId="2" fontId="4" fillId="0" borderId="8" xfId="0" applyNumberFormat="1" applyFont="1" applyBorder="1"/>
    <xf numFmtId="2" fontId="4" fillId="0" borderId="0" xfId="0" applyNumberFormat="1" applyFont="1"/>
    <xf numFmtId="2" fontId="4" fillId="0" borderId="2" xfId="0" applyNumberFormat="1" applyFont="1" applyBorder="1"/>
    <xf numFmtId="0" fontId="13" fillId="0" borderId="0" xfId="0" applyFont="1"/>
    <xf numFmtId="2" fontId="13" fillId="0" borderId="5" xfId="0" applyNumberFormat="1" applyFont="1" applyBorder="1"/>
    <xf numFmtId="9" fontId="4" fillId="0" borderId="5" xfId="0" applyNumberFormat="1" applyFont="1" applyBorder="1" applyAlignment="1">
      <alignment horizontal="center"/>
    </xf>
    <xf numFmtId="0" fontId="14" fillId="0" borderId="0" xfId="0" applyFont="1" applyAlignment="1">
      <alignment vertical="center"/>
    </xf>
    <xf numFmtId="2" fontId="1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 indent="1"/>
    </xf>
    <xf numFmtId="0" fontId="14" fillId="3" borderId="0" xfId="0" applyFont="1" applyFill="1" applyAlignment="1">
      <alignment vertical="center"/>
    </xf>
    <xf numFmtId="164" fontId="14" fillId="3" borderId="0" xfId="0" applyNumberFormat="1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9" fontId="2" fillId="3" borderId="0" xfId="0" applyNumberFormat="1" applyFont="1" applyFill="1" applyAlignment="1">
      <alignment vertical="center"/>
    </xf>
    <xf numFmtId="164" fontId="14" fillId="3" borderId="0" xfId="0" applyNumberFormat="1" applyFont="1" applyFill="1" applyAlignment="1">
      <alignment horizontal="left" vertical="center"/>
    </xf>
    <xf numFmtId="0" fontId="1" fillId="3" borderId="0" xfId="0" applyFont="1" applyFill="1" applyAlignment="1">
      <alignment wrapText="1"/>
    </xf>
    <xf numFmtId="0" fontId="16" fillId="0" borderId="3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9" fillId="3" borderId="0" xfId="0" applyFont="1" applyFill="1" applyAlignment="1">
      <alignment vertical="top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 indent="1"/>
    </xf>
    <xf numFmtId="0" fontId="22" fillId="3" borderId="0" xfId="0" applyFont="1" applyFill="1" applyAlignment="1">
      <alignment horizontal="center"/>
    </xf>
    <xf numFmtId="0" fontId="22" fillId="3" borderId="0" xfId="0" applyFont="1" applyFill="1"/>
    <xf numFmtId="0" fontId="22" fillId="3" borderId="0" xfId="0" applyFont="1" applyFill="1" applyAlignment="1">
      <alignment vertical="center"/>
    </xf>
    <xf numFmtId="164" fontId="20" fillId="3" borderId="0" xfId="0" applyNumberFormat="1" applyFont="1" applyFill="1" applyAlignment="1">
      <alignment vertical="center"/>
    </xf>
    <xf numFmtId="0" fontId="21" fillId="3" borderId="0" xfId="0" applyFont="1" applyFill="1" applyAlignment="1">
      <alignment vertical="center"/>
    </xf>
    <xf numFmtId="164" fontId="20" fillId="3" borderId="0" xfId="0" applyNumberFormat="1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 indent="2"/>
    </xf>
    <xf numFmtId="0" fontId="20" fillId="3" borderId="0" xfId="0" applyFont="1" applyFill="1" applyAlignment="1">
      <alignment horizontal="left" vertical="center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21" fillId="2" borderId="9" xfId="0" applyFont="1" applyFill="1" applyBorder="1" applyAlignment="1" applyProtection="1">
      <alignment horizontal="center" vertical="center"/>
      <protection locked="0"/>
    </xf>
    <xf numFmtId="164" fontId="18" fillId="3" borderId="0" xfId="0" applyNumberFormat="1" applyFont="1" applyFill="1" applyAlignment="1">
      <alignment vertical="center"/>
    </xf>
    <xf numFmtId="0" fontId="24" fillId="0" borderId="0" xfId="0" applyFont="1"/>
    <xf numFmtId="2" fontId="24" fillId="0" borderId="5" xfId="0" applyNumberFormat="1" applyFont="1" applyBorder="1"/>
    <xf numFmtId="0" fontId="18" fillId="3" borderId="0" xfId="0" applyFont="1" applyFill="1" applyAlignment="1">
      <alignment horizontal="left" vertical="center"/>
    </xf>
    <xf numFmtId="164" fontId="20" fillId="3" borderId="0" xfId="0" applyNumberFormat="1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 indent="1"/>
    </xf>
    <xf numFmtId="0" fontId="21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wrapText="1"/>
    </xf>
    <xf numFmtId="0" fontId="17" fillId="3" borderId="0" xfId="0" applyFont="1" applyFill="1" applyAlignment="1">
      <alignment horizontal="center" textRotation="90"/>
    </xf>
    <xf numFmtId="0" fontId="18" fillId="3" borderId="0" xfId="0" applyFont="1" applyFill="1" applyAlignment="1">
      <alignment horizontal="right" vertical="center"/>
    </xf>
  </cellXfs>
  <cellStyles count="1">
    <cellStyle name="Standaard" xfId="0" builtinId="0"/>
  </cellStyles>
  <dxfs count="10">
    <dxf>
      <font>
        <color rgb="FFFF0000"/>
      </font>
    </dxf>
    <dxf>
      <font>
        <color theme="4" tint="0.39994506668294322"/>
      </font>
      <fill>
        <patternFill>
          <bgColor theme="4" tint="0.39994506668294322"/>
        </patternFill>
      </fill>
      <border>
        <left/>
        <right/>
        <top/>
        <bottom/>
        <vertical/>
        <horizontal/>
      </border>
    </dxf>
    <dxf>
      <font>
        <color theme="4" tint="0.39994506668294322"/>
      </font>
      <fill>
        <patternFill>
          <bgColor theme="4" tint="0.39994506668294322"/>
        </patternFill>
      </fill>
      <border>
        <left/>
        <right/>
        <top/>
        <bottom/>
        <vertical/>
        <horizontal/>
      </border>
    </dxf>
    <dxf>
      <font>
        <color theme="4" tint="0.39994506668294322"/>
      </font>
      <fill>
        <patternFill>
          <bgColor theme="4" tint="0.39994506668294322"/>
        </patternFill>
      </fill>
      <border>
        <left/>
        <right/>
        <top/>
        <bottom/>
        <vertical/>
        <horizontal/>
      </border>
    </dxf>
    <dxf>
      <font>
        <color theme="4" tint="0.39994506668294322"/>
      </font>
      <fill>
        <patternFill>
          <bgColor theme="4" tint="0.39994506668294322"/>
        </patternFill>
      </fill>
      <border>
        <left/>
        <right/>
        <top/>
        <bottom/>
        <vertical/>
        <horizontal/>
      </border>
    </dxf>
    <dxf>
      <font>
        <color theme="4" tint="0.39994506668294322"/>
      </font>
      <fill>
        <patternFill>
          <bgColor theme="4" tint="0.39994506668294322"/>
        </patternFill>
      </fill>
      <border>
        <left/>
        <right/>
        <top/>
        <bottom/>
        <vertical/>
        <horizontal/>
      </border>
    </dxf>
    <dxf>
      <font>
        <color theme="4" tint="0.39994506668294322"/>
      </font>
      <fill>
        <patternFill>
          <bgColor theme="4" tint="0.39994506668294322"/>
        </patternFill>
      </fill>
      <border>
        <left/>
        <right/>
        <top/>
        <bottom/>
        <vertical/>
        <horizontal/>
      </border>
    </dxf>
    <dxf>
      <font>
        <color theme="4" tint="0.39994506668294322"/>
      </font>
      <fill>
        <patternFill>
          <bgColor theme="4" tint="0.39994506668294322"/>
        </patternFill>
      </fill>
      <border>
        <left/>
        <right/>
        <top/>
        <bottom/>
        <vertical/>
        <horizontal/>
      </border>
    </dxf>
    <dxf>
      <font>
        <color theme="4" tint="0.39994506668294322"/>
      </font>
      <fill>
        <patternFill>
          <bgColor theme="4" tint="0.39994506668294322"/>
        </patternFill>
      </fill>
      <border>
        <left/>
        <right/>
        <top/>
        <bottom/>
        <vertical/>
        <horizontal/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44"/>
  <sheetViews>
    <sheetView showGridLines="0" showRowColHeaders="0" tabSelected="1" zoomScaleNormal="100" workbookViewId="0">
      <selection activeCell="G5" sqref="G5"/>
    </sheetView>
  </sheetViews>
  <sheetFormatPr baseColWidth="10" defaultColWidth="10.33203125" defaultRowHeight="15" zeroHeight="1" x14ac:dyDescent="0.2"/>
  <cols>
    <col min="1" max="1" width="9.5" style="26" customWidth="1"/>
    <col min="2" max="2" width="64.5" style="23" bestFit="1" customWidth="1"/>
    <col min="3" max="3" width="4.5" style="23" bestFit="1" customWidth="1"/>
    <col min="4" max="4" width="2" style="23" bestFit="1" customWidth="1"/>
    <col min="5" max="5" width="4.5" style="23" bestFit="1" customWidth="1"/>
    <col min="6" max="6" width="1.5" style="23" customWidth="1"/>
    <col min="7" max="7" width="4.5" style="26" bestFit="1" customWidth="1"/>
    <col min="8" max="8" width="14.5" style="23" bestFit="1" customWidth="1"/>
    <col min="9" max="9" width="50.6640625" style="23" customWidth="1"/>
    <col min="10" max="10" width="2.6640625" style="23" customWidth="1"/>
    <col min="11" max="11" width="5" style="23" customWidth="1"/>
    <col min="12" max="12" width="2.5" style="23" customWidth="1"/>
    <col min="13" max="13" width="7.6640625" style="23" hidden="1" customWidth="1"/>
    <col min="14" max="14" width="49.83203125" style="23" hidden="1" customWidth="1"/>
    <col min="15" max="15" width="6.33203125" style="23" hidden="1" customWidth="1"/>
    <col min="16" max="16" width="55.6640625" style="23" hidden="1" customWidth="1"/>
    <col min="17" max="17" width="52.1640625" style="23" hidden="1" customWidth="1"/>
    <col min="18" max="18" width="57.83203125" style="23" hidden="1" customWidth="1"/>
    <col min="19" max="16384" width="10.33203125" style="23"/>
  </cols>
  <sheetData>
    <row r="1" spans="1:18" ht="14.5" customHeight="1" x14ac:dyDescent="0.2">
      <c r="A1" s="62" t="s">
        <v>122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27"/>
    </row>
    <row r="2" spans="1:18" ht="15" customHeight="1" x14ac:dyDescent="0.15">
      <c r="A2" s="62"/>
      <c r="B2" s="57" t="str">
        <f>"Dit rekenhulpmiddel in gebasseerd op de tarieven van "&amp;Tarieven!J2</f>
        <v>Dit rekenhulpmiddel in gebasseerd op de tarieven van 2026</v>
      </c>
      <c r="C2" s="57"/>
      <c r="D2" s="57"/>
      <c r="E2" s="57"/>
      <c r="F2" s="57"/>
      <c r="G2" s="57"/>
      <c r="H2" s="39"/>
      <c r="I2" s="39"/>
      <c r="J2" s="61" t="s">
        <v>121</v>
      </c>
      <c r="K2" s="61"/>
      <c r="L2" s="61"/>
      <c r="M2" s="35" t="s">
        <v>136</v>
      </c>
    </row>
    <row r="3" spans="1:18" ht="20.25" customHeight="1" x14ac:dyDescent="0.15">
      <c r="A3" s="62"/>
      <c r="B3" s="38" t="s">
        <v>120</v>
      </c>
      <c r="C3" s="39"/>
      <c r="D3" s="39"/>
      <c r="E3" s="39"/>
      <c r="F3" s="39"/>
      <c r="G3" s="40"/>
      <c r="H3" s="42" t="s">
        <v>0</v>
      </c>
      <c r="I3" s="43" t="s">
        <v>1</v>
      </c>
      <c r="J3" s="61"/>
      <c r="K3" s="61"/>
      <c r="L3" s="61"/>
      <c r="M3" s="35" t="s">
        <v>4</v>
      </c>
    </row>
    <row r="4" spans="1:18" ht="16" thickBot="1" x14ac:dyDescent="0.25">
      <c r="A4" s="62"/>
      <c r="B4" s="44" t="s">
        <v>2</v>
      </c>
      <c r="C4" s="44"/>
      <c r="D4" s="44"/>
      <c r="E4" s="44"/>
      <c r="F4" s="44"/>
      <c r="G4" s="40"/>
      <c r="H4" s="39"/>
      <c r="I4" s="39"/>
      <c r="J4" s="39"/>
      <c r="K4" s="39"/>
      <c r="L4" s="39"/>
      <c r="M4" s="28"/>
    </row>
    <row r="5" spans="1:18" ht="16" thickBot="1" x14ac:dyDescent="0.25">
      <c r="A5" s="62"/>
      <c r="B5" s="39" t="s">
        <v>3</v>
      </c>
      <c r="C5" s="39"/>
      <c r="D5" s="39"/>
      <c r="E5" s="39"/>
      <c r="F5" s="39"/>
      <c r="G5" s="52"/>
      <c r="H5" s="45" t="str">
        <f>IF($G5="nee",M5,"")</f>
        <v/>
      </c>
      <c r="I5" s="45" t="str">
        <f>IF(G5="nee",N5,"")</f>
        <v/>
      </c>
      <c r="J5" s="45"/>
      <c r="K5" s="52" t="s">
        <v>4</v>
      </c>
      <c r="L5" s="39"/>
      <c r="M5" s="29">
        <f>IF(K5="ja",0,Tarieven!J8)</f>
        <v>15</v>
      </c>
      <c r="N5" s="23" t="str">
        <f>Tarieven!E8</f>
        <v>Inschrijfgeld</v>
      </c>
    </row>
    <row r="6" spans="1:18" ht="16" thickBot="1" x14ac:dyDescent="0.25">
      <c r="A6" s="62"/>
      <c r="B6" s="60" t="s">
        <v>137</v>
      </c>
      <c r="C6" s="60"/>
      <c r="D6" s="60"/>
      <c r="E6" s="39"/>
      <c r="F6" s="39"/>
      <c r="G6" s="52"/>
      <c r="H6" s="45" t="str">
        <f>IF(OR($G6="ja",K6="ja"),M6,"")</f>
        <v/>
      </c>
      <c r="I6" s="45" t="str">
        <f>N6</f>
        <v>Vereningscontributie ondersteunend lid</v>
      </c>
      <c r="J6" s="45"/>
      <c r="K6" s="52" t="s">
        <v>4</v>
      </c>
      <c r="L6" s="39"/>
      <c r="M6" s="29">
        <f>IF(AND(K6="ja",G6="nee"),-Tarieven!J7,IF(K6="ja",0,Tarieven!J7))</f>
        <v>25</v>
      </c>
      <c r="N6" s="23" t="str">
        <f>Tarieven!E7</f>
        <v>Vereningscontributie ondersteunend lid</v>
      </c>
    </row>
    <row r="7" spans="1:18" ht="16" thickBot="1" x14ac:dyDescent="0.25">
      <c r="A7" s="62"/>
      <c r="B7" s="39" t="s">
        <v>5</v>
      </c>
      <c r="C7" s="39"/>
      <c r="D7" s="39"/>
      <c r="E7" s="39"/>
      <c r="F7" s="39"/>
      <c r="G7" s="52"/>
      <c r="H7" s="45" t="str">
        <f>IF(OR($G6="ja",G7=""),"",IF($G7="ja",M7,O7))</f>
        <v/>
      </c>
      <c r="I7" s="45" t="str">
        <f>IF(OR(G7="",G7="ja"),N7,P7)</f>
        <v>Verenigingscontributie volwassenen</v>
      </c>
      <c r="J7" s="45"/>
      <c r="K7" s="52" t="s">
        <v>4</v>
      </c>
      <c r="L7" s="39"/>
      <c r="M7" s="29">
        <f>IF(K7="ja",0,Tarieven!J5)</f>
        <v>65</v>
      </c>
      <c r="N7" s="23" t="str">
        <f>Tarieven!E5</f>
        <v>Verenigingscontributie volwassenen</v>
      </c>
      <c r="O7" s="24">
        <f>IF(K7="ja",0,Tarieven!J6)</f>
        <v>20</v>
      </c>
      <c r="P7" s="23" t="str">
        <f>Tarieven!E6</f>
        <v>Verenigingscontributie jeugd</v>
      </c>
    </row>
    <row r="8" spans="1:18" ht="6" customHeight="1" x14ac:dyDescent="0.2">
      <c r="A8" s="62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0"/>
      <c r="O8" s="24"/>
    </row>
    <row r="9" spans="1:18" ht="16" thickBot="1" x14ac:dyDescent="0.25">
      <c r="A9" s="62"/>
      <c r="B9" s="44" t="s">
        <v>20</v>
      </c>
      <c r="C9" s="44"/>
      <c r="D9" s="44"/>
      <c r="E9" s="44"/>
      <c r="F9" s="44"/>
      <c r="G9" s="40"/>
      <c r="H9" s="45"/>
      <c r="I9" s="45"/>
      <c r="J9" s="45"/>
      <c r="K9" s="45"/>
      <c r="L9" s="45"/>
      <c r="M9" s="28"/>
    </row>
    <row r="10" spans="1:18" ht="16" thickBot="1" x14ac:dyDescent="0.25">
      <c r="A10" s="62"/>
      <c r="B10" s="46" t="s">
        <v>21</v>
      </c>
      <c r="C10" s="46"/>
      <c r="D10" s="46"/>
      <c r="E10" s="46"/>
      <c r="F10" s="46"/>
      <c r="G10" s="52"/>
      <c r="H10" s="45" t="str">
        <f>IF(AND(G10="ja",G6&lt;&gt;"ja"),IF(G7="","",IF($G7="ja",M10,O10)),"")</f>
        <v/>
      </c>
      <c r="I10" s="58" t="str">
        <f>IF(G10="ja",IF($G7="ja",N10,P10),"")</f>
        <v/>
      </c>
      <c r="J10" s="58"/>
      <c r="K10" s="58"/>
      <c r="L10" s="47"/>
      <c r="M10" s="29">
        <f>Tarieven!J15</f>
        <v>109</v>
      </c>
      <c r="N10" s="23" t="str">
        <f>Tarieven!E15</f>
        <v>Zeillidmaatschap, volwassenen</v>
      </c>
      <c r="O10" s="24">
        <f>Tarieven!J16</f>
        <v>90</v>
      </c>
      <c r="P10" s="23" t="str">
        <f>Tarieven!E16</f>
        <v>Zeillidmaatschap, jeugd</v>
      </c>
      <c r="Q10" s="37" t="s">
        <v>7</v>
      </c>
    </row>
    <row r="11" spans="1:18" ht="0.75" customHeight="1" thickBot="1" x14ac:dyDescent="0.25">
      <c r="A11" s="62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31"/>
      <c r="O11" s="24"/>
      <c r="Q11" s="37"/>
    </row>
    <row r="12" spans="1:18" ht="16" thickBot="1" x14ac:dyDescent="0.25">
      <c r="A12" s="62"/>
      <c r="B12" s="59" t="s">
        <v>132</v>
      </c>
      <c r="C12" s="59"/>
      <c r="D12" s="59"/>
      <c r="E12" s="59"/>
      <c r="F12" s="46"/>
      <c r="G12" s="52"/>
      <c r="H12" s="45" t="str">
        <f>IF(OR(G10="nee",G6&lt;&gt;"nee"),"",(IF(G12="ja",IF($G7="ja",M12,O12),"")))</f>
        <v/>
      </c>
      <c r="I12" s="58" t="str">
        <f>IF(G12="ja",IF(COUNTIF($G$12:$G$13,"ja")&gt;1,Q12,IF($G7="ja",N12,P12)),"")</f>
        <v/>
      </c>
      <c r="J12" s="58"/>
      <c r="K12" s="58"/>
      <c r="L12" s="47"/>
      <c r="M12" s="29">
        <f>Tarieven!J49</f>
        <v>82</v>
      </c>
      <c r="N12" s="23" t="str">
        <f>Tarieven!E49</f>
        <v>Instructie, volwassenen (per jaar)</v>
      </c>
      <c r="O12" s="24">
        <f>Tarieven!J51</f>
        <v>265</v>
      </c>
      <c r="P12" s="23" t="str">
        <f>Tarieven!E51</f>
        <v>Instructie, jeugd (per jaar)</v>
      </c>
      <c r="Q12" s="25" t="s">
        <v>22</v>
      </c>
      <c r="R12" s="25"/>
    </row>
    <row r="13" spans="1:18" ht="16" thickBot="1" x14ac:dyDescent="0.25">
      <c r="A13" s="62"/>
      <c r="B13" s="41" t="s">
        <v>23</v>
      </c>
      <c r="C13" s="46"/>
      <c r="D13" s="46"/>
      <c r="E13" s="46"/>
      <c r="F13" s="46"/>
      <c r="G13" s="52"/>
      <c r="H13" s="45" t="str">
        <f>IF(OR(G10="nee",G6&lt;&gt;"nee"),"",IF(G13="ja",IF($G7="ja",M13,O13),""))</f>
        <v/>
      </c>
      <c r="I13" s="58" t="str">
        <f>IF(G13="ja",IF(COUNTIF($G$12:$G$13,"ja")&gt;1,Q13,IF($G7="ja",N13,P13)),"")</f>
        <v/>
      </c>
      <c r="J13" s="58"/>
      <c r="K13" s="58"/>
      <c r="L13" s="47"/>
      <c r="M13" s="29">
        <f>Tarieven!J50</f>
        <v>30</v>
      </c>
      <c r="N13" s="23" t="str">
        <f>Tarieven!E50</f>
        <v>Verkorte cursus, volwassenen (4 lessen)</v>
      </c>
      <c r="P13" s="25" t="s">
        <v>24</v>
      </c>
      <c r="Q13" s="25" t="s">
        <v>22</v>
      </c>
      <c r="R13" s="25"/>
    </row>
    <row r="14" spans="1:18" ht="6" customHeight="1" x14ac:dyDescent="0.2">
      <c r="A14" s="62"/>
      <c r="B14" s="39"/>
      <c r="C14" s="39"/>
      <c r="D14" s="39"/>
      <c r="E14" s="39"/>
      <c r="F14" s="39"/>
      <c r="G14" s="40"/>
      <c r="H14" s="45"/>
      <c r="I14" s="58"/>
      <c r="J14" s="58"/>
      <c r="K14" s="58"/>
      <c r="L14" s="45"/>
      <c r="M14" s="28"/>
    </row>
    <row r="15" spans="1:18" ht="16" thickBot="1" x14ac:dyDescent="0.25">
      <c r="A15" s="62"/>
      <c r="B15" s="44" t="s">
        <v>6</v>
      </c>
      <c r="C15" s="44"/>
      <c r="D15" s="44"/>
      <c r="E15" s="44"/>
      <c r="F15" s="44"/>
      <c r="G15" s="40"/>
      <c r="H15" s="45"/>
      <c r="I15" s="58"/>
      <c r="J15" s="58"/>
      <c r="K15" s="58"/>
      <c r="L15" s="45"/>
      <c r="M15" s="28"/>
    </row>
    <row r="16" spans="1:18" ht="16" thickBot="1" x14ac:dyDescent="0.25">
      <c r="A16" s="62"/>
      <c r="B16" s="60" t="s">
        <v>135</v>
      </c>
      <c r="C16" s="60"/>
      <c r="D16" s="60"/>
      <c r="E16" s="46"/>
      <c r="F16" s="46"/>
      <c r="G16" s="52"/>
      <c r="H16" s="45"/>
      <c r="I16" s="58"/>
      <c r="J16" s="58"/>
      <c r="K16" s="58"/>
      <c r="L16" s="48"/>
      <c r="M16" s="28"/>
      <c r="Q16" s="37" t="s">
        <v>7</v>
      </c>
    </row>
    <row r="17" spans="1:17" ht="1.5" customHeight="1" thickBot="1" x14ac:dyDescent="0.25">
      <c r="A17" s="62"/>
      <c r="B17" s="46"/>
      <c r="C17" s="46"/>
      <c r="D17" s="46"/>
      <c r="E17" s="46"/>
      <c r="F17" s="46"/>
      <c r="G17" s="46"/>
      <c r="H17" s="45"/>
      <c r="I17" s="58"/>
      <c r="J17" s="58"/>
      <c r="K17" s="58"/>
      <c r="L17" s="48"/>
      <c r="M17" s="28"/>
      <c r="P17" s="25"/>
    </row>
    <row r="18" spans="1:17" ht="16" thickBot="1" x14ac:dyDescent="0.25">
      <c r="A18" s="62"/>
      <c r="B18" s="41" t="s">
        <v>8</v>
      </c>
      <c r="C18" s="53"/>
      <c r="D18" s="49" t="s">
        <v>9</v>
      </c>
      <c r="E18" s="53"/>
      <c r="F18" s="46"/>
      <c r="G18" s="45"/>
      <c r="H18" s="45"/>
      <c r="I18" s="58" t="str">
        <f>IF(C18&lt;E18,P18,"")</f>
        <v/>
      </c>
      <c r="J18" s="58"/>
      <c r="K18" s="58"/>
      <c r="L18" s="48"/>
      <c r="M18" s="28"/>
      <c r="P18" s="25" t="s">
        <v>10</v>
      </c>
    </row>
    <row r="19" spans="1:17" ht="16" thickBot="1" x14ac:dyDescent="0.25">
      <c r="A19" s="62"/>
      <c r="B19" s="41" t="s">
        <v>128</v>
      </c>
      <c r="C19" s="46"/>
      <c r="D19" s="46"/>
      <c r="E19" s="46"/>
      <c r="F19" s="46"/>
      <c r="G19" s="52"/>
      <c r="H19" s="45"/>
      <c r="I19" s="58"/>
      <c r="J19" s="58"/>
      <c r="K19" s="58"/>
      <c r="L19" s="47"/>
      <c r="M19" s="33">
        <f>IF(OR(G19="nee",G19=""),121%,100%)</f>
        <v>1.21</v>
      </c>
    </row>
    <row r="20" spans="1:17" ht="5.25" customHeight="1" thickBot="1" x14ac:dyDescent="0.25">
      <c r="A20" s="62"/>
      <c r="B20" s="41"/>
      <c r="C20" s="46"/>
      <c r="D20" s="46"/>
      <c r="E20" s="46"/>
      <c r="F20" s="46"/>
      <c r="G20" s="40"/>
      <c r="H20" s="45"/>
      <c r="I20" s="58"/>
      <c r="J20" s="58"/>
      <c r="K20" s="58"/>
      <c r="L20" s="45"/>
      <c r="M20" s="33"/>
    </row>
    <row r="21" spans="1:17" ht="16" thickBot="1" x14ac:dyDescent="0.25">
      <c r="A21" s="62"/>
      <c r="B21" s="41" t="s">
        <v>11</v>
      </c>
      <c r="C21" s="46"/>
      <c r="D21" s="49"/>
      <c r="E21" s="46"/>
      <c r="F21" s="46"/>
      <c r="G21" s="52"/>
      <c r="H21" s="45" t="str">
        <f>IF(AND($G21="ja",$G$16="ja",G6="nee"),M21*O21,"")</f>
        <v/>
      </c>
      <c r="I21" s="58" t="str">
        <f>IF(H21=0,Q21,IF($G21="ja",N21,""))</f>
        <v/>
      </c>
      <c r="J21" s="58"/>
      <c r="K21" s="58"/>
      <c r="L21" s="47"/>
      <c r="M21" s="34">
        <f>Tarieven!J22/1.21*M19</f>
        <v>16.5</v>
      </c>
      <c r="N21" s="23" t="str">
        <f>Tarieven!E22</f>
        <v>Zomerliggeld (o.b.v. schatting van de benodigde boxmaat)</v>
      </c>
      <c r="O21" s="23">
        <f>IF(C18*E18=0,0,ROUNDUP((C18+0.5)*(E18+0.5),0))</f>
        <v>0</v>
      </c>
      <c r="P21" s="25"/>
      <c r="Q21" s="23" t="s">
        <v>125</v>
      </c>
    </row>
    <row r="22" spans="1:17" ht="0.75" customHeight="1" thickBot="1" x14ac:dyDescent="0.25">
      <c r="A22" s="62"/>
      <c r="B22" s="41"/>
      <c r="C22" s="46"/>
      <c r="D22" s="49"/>
      <c r="E22" s="46"/>
      <c r="F22" s="46"/>
      <c r="G22" s="41"/>
      <c r="H22" s="45"/>
      <c r="I22" s="58"/>
      <c r="J22" s="58"/>
      <c r="K22" s="58"/>
      <c r="L22" s="47"/>
      <c r="M22" s="34"/>
      <c r="P22" s="25"/>
      <c r="Q22" s="23" t="s">
        <v>125</v>
      </c>
    </row>
    <row r="23" spans="1:17" ht="16" thickBot="1" x14ac:dyDescent="0.25">
      <c r="A23" s="62"/>
      <c r="B23" s="50" t="s">
        <v>134</v>
      </c>
      <c r="C23" s="46"/>
      <c r="D23" s="46"/>
      <c r="E23" s="46"/>
      <c r="F23" s="46"/>
      <c r="G23" s="52"/>
      <c r="H23" s="45" t="str">
        <f>IF(AND($G23="nee",G16="ja",G21="ja",G6="nee"),M23*O23,"")</f>
        <v/>
      </c>
      <c r="I23" s="58" t="str">
        <f>IF(AND(O23=0,G21="ja"),Q23,IF(AND($G23="nee"),N23,""))</f>
        <v/>
      </c>
      <c r="J23" s="58"/>
      <c r="K23" s="58"/>
      <c r="L23" s="47"/>
      <c r="M23" s="34">
        <f>Tarieven!J13/1.21*M19</f>
        <v>19.97</v>
      </c>
      <c r="N23" s="25" t="str">
        <f>Tarieven!E13</f>
        <v>Entreegelden haven</v>
      </c>
      <c r="O23" s="23">
        <f>ROUNDUP(C18*E18,0)</f>
        <v>0</v>
      </c>
      <c r="Q23" s="23" t="s">
        <v>125</v>
      </c>
    </row>
    <row r="24" spans="1:17" ht="16" thickBot="1" x14ac:dyDescent="0.25">
      <c r="A24" s="62"/>
      <c r="B24" s="50" t="s">
        <v>12</v>
      </c>
      <c r="C24" s="39"/>
      <c r="D24" s="39"/>
      <c r="E24" s="46"/>
      <c r="F24" s="46"/>
      <c r="G24" s="52"/>
      <c r="H24" s="45" t="str">
        <f>IF(AND($G24="nee",G16="ja",G21="ja",G6="nee"),M24,"")</f>
        <v/>
      </c>
      <c r="I24" s="58" t="str">
        <f>IF(AND($C$18=0,G21="ja"),Q24,IF($G24="nee",N24,""))</f>
        <v/>
      </c>
      <c r="J24" s="58"/>
      <c r="K24" s="58"/>
      <c r="L24" s="51"/>
      <c r="M24" s="34">
        <f>IF(C18&lt;4,0,IF(C18&lt;8,Tarieven!J31,IF(C18&lt;12,Tarieven!J32,Tarieven!J33)))</f>
        <v>0</v>
      </c>
      <c r="N24" s="25" t="str">
        <f>Tarieven!E31</f>
        <v>Waterverblijfsbelasting Aalsmeer</v>
      </c>
      <c r="Q24" s="23" t="s">
        <v>125</v>
      </c>
    </row>
    <row r="25" spans="1:17" ht="16" thickBot="1" x14ac:dyDescent="0.25">
      <c r="A25" s="62"/>
      <c r="B25" s="50" t="s">
        <v>123</v>
      </c>
      <c r="C25" s="39"/>
      <c r="D25" s="39"/>
      <c r="E25" s="46"/>
      <c r="F25" s="46"/>
      <c r="G25" s="52"/>
      <c r="H25" s="45" t="str">
        <f>IF(AND($G25="ja",G16="ja",G21="ja",G6="nee"),M25,"")</f>
        <v/>
      </c>
      <c r="I25" s="58" t="str">
        <f>IF(G25="ja",N25,"")</f>
        <v/>
      </c>
      <c r="J25" s="58"/>
      <c r="K25" s="58"/>
      <c r="L25" s="51"/>
      <c r="M25" s="34">
        <f>Tarieven!J35/1.21*M19</f>
        <v>42.35</v>
      </c>
      <c r="N25" s="25" t="str">
        <f>Tarieven!E35</f>
        <v>Walstroom per zomerseizoen</v>
      </c>
    </row>
    <row r="26" spans="1:17" ht="5.25" customHeight="1" thickBot="1" x14ac:dyDescent="0.25">
      <c r="A26" s="62"/>
      <c r="B26" s="41"/>
      <c r="C26" s="39"/>
      <c r="D26" s="39"/>
      <c r="E26" s="46"/>
      <c r="F26" s="46"/>
      <c r="G26" s="40"/>
      <c r="H26" s="45"/>
      <c r="I26" s="58"/>
      <c r="J26" s="58"/>
      <c r="K26" s="58"/>
      <c r="L26" s="39"/>
      <c r="M26" s="34"/>
      <c r="N26" s="25"/>
    </row>
    <row r="27" spans="1:17" ht="16" thickBot="1" x14ac:dyDescent="0.25">
      <c r="A27" s="62"/>
      <c r="B27" s="41" t="s">
        <v>13</v>
      </c>
      <c r="C27" s="46"/>
      <c r="D27" s="46"/>
      <c r="E27" s="46"/>
      <c r="F27" s="46"/>
      <c r="G27" s="52"/>
      <c r="H27" s="45" t="str">
        <f>IF(AND($G27="ja",G16="ja",G6="nee"),M27*O27,"")</f>
        <v/>
      </c>
      <c r="I27" s="58" t="str">
        <f>IF(AND(COUNTIF($G$27:$G$29,"ja")&gt;1,G27="ja"),P27,IF(H27=0,Q27,IF(G27="ja",N27,"")))</f>
        <v/>
      </c>
      <c r="J27" s="58"/>
      <c r="K27" s="58"/>
      <c r="L27" s="48"/>
      <c r="M27" s="34">
        <f>Tarieven!J25/1.21*M19</f>
        <v>5.919999999999999</v>
      </c>
      <c r="N27" s="23" t="str">
        <f>Tarieven!E25</f>
        <v>Winterligplaats (water)</v>
      </c>
      <c r="O27" s="23">
        <f>ROUNDUP(C18*E18,0)</f>
        <v>0</v>
      </c>
      <c r="P27" s="25" t="s">
        <v>14</v>
      </c>
      <c r="Q27" s="23" t="s">
        <v>125</v>
      </c>
    </row>
    <row r="28" spans="1:17" ht="15" customHeight="1" thickBot="1" x14ac:dyDescent="0.25">
      <c r="A28" s="62"/>
      <c r="B28" s="41" t="s">
        <v>15</v>
      </c>
      <c r="C28" s="46"/>
      <c r="D28" s="46"/>
      <c r="E28" s="46"/>
      <c r="F28" s="46"/>
      <c r="G28" s="52"/>
      <c r="H28" s="45" t="str">
        <f>IF(AND($G28="ja",G16="ja",G6="nee"),M28*O28,"")</f>
        <v/>
      </c>
      <c r="I28" s="58" t="str">
        <f>IF(AND(COUNTIF($G$27:$G$29,"ja")&gt;1,G28="ja"),P28,IF(H28=0,Q28,IF(G28="ja",N28,"")))</f>
        <v/>
      </c>
      <c r="J28" s="58"/>
      <c r="K28" s="58"/>
      <c r="L28" s="48"/>
      <c r="M28" s="34">
        <f>Tarieven!J27/1.21*M19</f>
        <v>12.44</v>
      </c>
      <c r="N28" s="23" t="str">
        <f>Tarieven!E27</f>
        <v>Winterstalling (land)</v>
      </c>
      <c r="O28" s="23">
        <f>ROUNDUP(C18*E18,0)</f>
        <v>0</v>
      </c>
      <c r="P28" s="25" t="s">
        <v>14</v>
      </c>
      <c r="Q28" s="23" t="s">
        <v>125</v>
      </c>
    </row>
    <row r="29" spans="1:17" ht="16" thickBot="1" x14ac:dyDescent="0.25">
      <c r="A29" s="32"/>
      <c r="B29" s="41" t="s">
        <v>16</v>
      </c>
      <c r="C29" s="39"/>
      <c r="D29" s="39"/>
      <c r="E29" s="39"/>
      <c r="F29" s="39"/>
      <c r="G29" s="52"/>
      <c r="H29" s="45" t="str">
        <f>IF(AND($G29="ja",G16="ja",G6="nee"),M29*O29,"")</f>
        <v/>
      </c>
      <c r="I29" s="58" t="str">
        <f>IF(AND(COUNTIF($G$27:$G$29,"ja")&gt;1,G29="ja"),P29,IF(H29=0,Q29,IF(G29="ja",N29,"")))</f>
        <v/>
      </c>
      <c r="J29" s="58"/>
      <c r="K29" s="58"/>
      <c r="L29" s="48"/>
      <c r="M29" s="34">
        <f>Tarieven!J26/1.21*M19</f>
        <v>24.89</v>
      </c>
      <c r="N29" s="23" t="str">
        <f>Tarieven!E26</f>
        <v>Winterstalling (loods)</v>
      </c>
      <c r="O29" s="23">
        <f>ROUNDUP(C18*E18,0)</f>
        <v>0</v>
      </c>
      <c r="P29" s="25" t="s">
        <v>14</v>
      </c>
      <c r="Q29" s="23" t="s">
        <v>125</v>
      </c>
    </row>
    <row r="30" spans="1:17" ht="0.75" customHeight="1" thickBot="1" x14ac:dyDescent="0.25">
      <c r="A30" s="32"/>
      <c r="B30" s="41"/>
      <c r="C30" s="39"/>
      <c r="D30" s="39"/>
      <c r="E30" s="39"/>
      <c r="F30" s="39"/>
      <c r="G30" s="41"/>
      <c r="H30" s="45"/>
      <c r="I30" s="47"/>
      <c r="J30" s="47"/>
      <c r="K30" s="47"/>
      <c r="L30" s="48"/>
      <c r="M30" s="34"/>
      <c r="P30" s="25"/>
    </row>
    <row r="31" spans="1:17" ht="16" thickBot="1" x14ac:dyDescent="0.25">
      <c r="A31" s="32"/>
      <c r="B31" s="50" t="s">
        <v>124</v>
      </c>
      <c r="C31" s="39"/>
      <c r="D31" s="39"/>
      <c r="E31" s="39"/>
      <c r="F31" s="39"/>
      <c r="G31" s="52"/>
      <c r="H31" s="45" t="str">
        <f>IF(AND(G31="ja",OR(G27="ja",G28="ja",G29="ja"),G16="ja",G6="nee"),M31,"")</f>
        <v/>
      </c>
      <c r="I31" s="58" t="str">
        <f>IF(G31="ja",N31,"")</f>
        <v/>
      </c>
      <c r="J31" s="58"/>
      <c r="K31" s="58"/>
      <c r="L31" s="48"/>
      <c r="M31" s="34">
        <f>Tarieven!J36/1.21*M19</f>
        <v>21.18</v>
      </c>
      <c r="N31" s="23" t="str">
        <f>Tarieven!E36</f>
        <v>Walstroom per winterseizoen</v>
      </c>
      <c r="P31" s="25"/>
    </row>
    <row r="32" spans="1:17" ht="0.75" customHeight="1" x14ac:dyDescent="0.2">
      <c r="A32" s="32"/>
      <c r="B32" s="50"/>
      <c r="C32" s="39"/>
      <c r="D32" s="39"/>
      <c r="E32" s="39"/>
      <c r="F32" s="39"/>
      <c r="G32" s="40"/>
      <c r="H32" s="45"/>
      <c r="I32" s="47"/>
      <c r="J32" s="47"/>
      <c r="K32" s="47"/>
      <c r="L32" s="48"/>
      <c r="M32" s="34"/>
      <c r="P32" s="25"/>
    </row>
    <row r="33" spans="1:17" ht="16" thickBot="1" x14ac:dyDescent="0.25">
      <c r="A33" s="32"/>
      <c r="B33" s="50" t="s">
        <v>17</v>
      </c>
      <c r="C33" s="39"/>
      <c r="D33" s="39"/>
      <c r="E33" s="39"/>
      <c r="F33" s="39"/>
      <c r="G33" s="52"/>
      <c r="H33" s="45" t="str">
        <f>IF(AND($G33="ja",G16="ja",G6="nee"),M33*O33,"")</f>
        <v/>
      </c>
      <c r="I33" s="58" t="str">
        <f>IF(AND(G27="ja",G33="ja"),P33,IF(AND(G33="ja",H33=0),Q33,IF(G33="ja",N33,"")))</f>
        <v/>
      </c>
      <c r="J33" s="58"/>
      <c r="K33" s="58"/>
      <c r="L33" s="48"/>
      <c r="M33" s="34">
        <f>Tarieven!J37/1.21*M19</f>
        <v>4.79</v>
      </c>
      <c r="N33" s="23" t="str">
        <f>Tarieven!E37</f>
        <v>Hellingkosten (incl. gebruik hogedrukspuit en verplaatsen)</v>
      </c>
      <c r="O33" s="23">
        <f>ROUNDUP(C18*E18,0)</f>
        <v>0</v>
      </c>
      <c r="P33" s="25" t="s">
        <v>18</v>
      </c>
      <c r="Q33" s="23" t="s">
        <v>125</v>
      </c>
    </row>
    <row r="34" spans="1:17" ht="5.25" customHeight="1" thickBot="1" x14ac:dyDescent="0.25">
      <c r="A34" s="32"/>
      <c r="B34" s="41"/>
      <c r="C34" s="39"/>
      <c r="D34" s="39"/>
      <c r="E34" s="39"/>
      <c r="F34" s="39"/>
      <c r="G34" s="40"/>
      <c r="H34" s="45"/>
      <c r="I34" s="58"/>
      <c r="J34" s="58"/>
      <c r="K34" s="58"/>
      <c r="L34" s="46"/>
      <c r="M34" s="34"/>
      <c r="P34" s="25"/>
    </row>
    <row r="35" spans="1:17" ht="16" thickBot="1" x14ac:dyDescent="0.25">
      <c r="A35" s="32"/>
      <c r="B35" s="41" t="s">
        <v>19</v>
      </c>
      <c r="C35" s="39"/>
      <c r="D35" s="39"/>
      <c r="E35" s="39"/>
      <c r="F35" s="39"/>
      <c r="G35" s="52"/>
      <c r="H35" s="45" t="str">
        <f>IF(AND($G35="ja",$G$16="ja",G6="nee"),M35,"")</f>
        <v/>
      </c>
      <c r="I35" s="58" t="str">
        <f>IF($G35="ja",N35,"")</f>
        <v/>
      </c>
      <c r="J35" s="58"/>
      <c r="K35" s="58"/>
      <c r="L35" s="47"/>
      <c r="M35" s="34">
        <f>Tarieven!J24</f>
        <v>27.5</v>
      </c>
      <c r="N35" s="23" t="str">
        <f>Tarieven!E24</f>
        <v>Surf-of SUP-plank</v>
      </c>
      <c r="P35" s="25"/>
    </row>
    <row r="36" spans="1:17" ht="6" customHeight="1" x14ac:dyDescent="0.2">
      <c r="A36" s="32"/>
      <c r="B36" s="39"/>
      <c r="C36" s="39"/>
      <c r="D36" s="39"/>
      <c r="E36" s="39"/>
      <c r="F36" s="39"/>
      <c r="G36" s="40"/>
      <c r="H36" s="45"/>
      <c r="I36" s="58"/>
      <c r="J36" s="58"/>
      <c r="K36" s="58"/>
      <c r="L36" s="45"/>
      <c r="M36" s="28"/>
    </row>
    <row r="37" spans="1:17" ht="16" thickBot="1" x14ac:dyDescent="0.25">
      <c r="A37" s="32"/>
      <c r="B37" s="44" t="s">
        <v>25</v>
      </c>
      <c r="C37" s="46"/>
      <c r="D37" s="46"/>
      <c r="E37" s="46"/>
      <c r="F37" s="46"/>
      <c r="G37" s="40"/>
      <c r="H37" s="45"/>
      <c r="I37" s="58"/>
      <c r="J37" s="58"/>
      <c r="K37" s="58"/>
      <c r="L37" s="45"/>
      <c r="M37" s="28"/>
    </row>
    <row r="38" spans="1:17" ht="16" thickBot="1" x14ac:dyDescent="0.25">
      <c r="A38" s="32"/>
      <c r="B38" s="46" t="s">
        <v>28</v>
      </c>
      <c r="C38" s="39"/>
      <c r="D38" s="39"/>
      <c r="E38" s="39"/>
      <c r="F38" s="39"/>
      <c r="G38" s="52"/>
      <c r="H38" s="45" t="str">
        <f>IF(AND($G38="ja",G6="nee"),M38,"")</f>
        <v/>
      </c>
      <c r="I38" s="58" t="str">
        <f>IF(G38="ja",N38,"")</f>
        <v/>
      </c>
      <c r="J38" s="58"/>
      <c r="K38" s="58"/>
      <c r="L38" s="48"/>
      <c r="M38" s="30">
        <f>Tarieven!J64</f>
        <v>388.53211009174305</v>
      </c>
      <c r="N38" s="23" t="str">
        <f>Tarieven!E64</f>
        <v>Scholletjesbos per week</v>
      </c>
      <c r="Q38" s="37" t="s">
        <v>7</v>
      </c>
    </row>
    <row r="39" spans="1:17" ht="16" thickBot="1" x14ac:dyDescent="0.25">
      <c r="A39" s="32"/>
      <c r="B39" s="46" t="s">
        <v>29</v>
      </c>
      <c r="C39" s="39"/>
      <c r="D39" s="39"/>
      <c r="E39" s="39"/>
      <c r="F39" s="39"/>
      <c r="G39" s="52"/>
      <c r="H39" s="45" t="str">
        <f>IF(AND($G39="ja",G6="nee"),M39,"")</f>
        <v/>
      </c>
      <c r="I39" s="58" t="str">
        <f>IF(G39="ja",N39,"")</f>
        <v/>
      </c>
      <c r="J39" s="58"/>
      <c r="K39" s="58"/>
      <c r="L39" s="48"/>
      <c r="M39" s="30">
        <f>Tarieven!J65</f>
        <v>194.26605504587152</v>
      </c>
      <c r="N39" s="23" t="str">
        <f>Tarieven!E65</f>
        <v>Scholletjesbos per weekend/midweek</v>
      </c>
      <c r="Q39" s="37" t="s">
        <v>7</v>
      </c>
    </row>
    <row r="40" spans="1:17" ht="16" thickBot="1" x14ac:dyDescent="0.25">
      <c r="A40" s="32"/>
      <c r="B40" s="46" t="s">
        <v>26</v>
      </c>
      <c r="C40" s="39"/>
      <c r="D40" s="39"/>
      <c r="E40" s="39"/>
      <c r="F40" s="39"/>
      <c r="G40" s="52"/>
      <c r="H40" s="45" t="str">
        <f>IF(AND($G40="ja",G6="nee"),M40,"")</f>
        <v/>
      </c>
      <c r="I40" s="58" t="str">
        <f>IF(G40="ja",N40,"")</f>
        <v/>
      </c>
      <c r="J40" s="58"/>
      <c r="K40" s="58"/>
      <c r="L40" s="48"/>
      <c r="M40" s="30">
        <f>Tarieven!J69</f>
        <v>55</v>
      </c>
      <c r="N40" s="23" t="str">
        <f>Tarieven!E69</f>
        <v>Verenigingssloep per dagdeel</v>
      </c>
      <c r="Q40" s="37" t="s">
        <v>7</v>
      </c>
    </row>
    <row r="41" spans="1:17" ht="16" thickBot="1" x14ac:dyDescent="0.25">
      <c r="A41" s="32"/>
      <c r="B41" s="46" t="s">
        <v>27</v>
      </c>
      <c r="C41" s="39"/>
      <c r="D41" s="39"/>
      <c r="E41" s="39"/>
      <c r="F41" s="39"/>
      <c r="G41" s="52"/>
      <c r="H41" s="45" t="str">
        <f>IF(AND($G41="ja",G6="nee"),M41,"")</f>
        <v/>
      </c>
      <c r="I41" s="58" t="str">
        <f>IF(G41="ja",N41,"")</f>
        <v/>
      </c>
      <c r="J41" s="58"/>
      <c r="K41" s="58"/>
      <c r="L41" s="48"/>
      <c r="M41" s="30">
        <f>Tarieven!J70</f>
        <v>85</v>
      </c>
      <c r="N41" s="23" t="str">
        <f>Tarieven!E70</f>
        <v>Verenigingssloep per 2 aansluitende dagdelen</v>
      </c>
      <c r="Q41" s="37" t="s">
        <v>7</v>
      </c>
    </row>
    <row r="42" spans="1:17" x14ac:dyDescent="0.2">
      <c r="A42" s="32"/>
      <c r="B42" s="39"/>
      <c r="C42" s="39"/>
      <c r="D42" s="39"/>
      <c r="E42" s="39"/>
      <c r="F42" s="39"/>
      <c r="G42" s="40"/>
      <c r="H42" s="39"/>
      <c r="I42" s="39"/>
      <c r="J42" s="39"/>
      <c r="K42" s="39"/>
      <c r="L42" s="39"/>
      <c r="M42" s="28"/>
    </row>
    <row r="43" spans="1:17" x14ac:dyDescent="0.2">
      <c r="A43" s="32"/>
      <c r="B43" s="63" t="s">
        <v>30</v>
      </c>
      <c r="C43" s="63"/>
      <c r="D43" s="63"/>
      <c r="E43" s="63"/>
      <c r="F43" s="63"/>
      <c r="G43" s="63"/>
      <c r="H43" s="54">
        <f>SUM(H5:H42)</f>
        <v>0</v>
      </c>
      <c r="I43" s="45"/>
      <c r="J43" s="45"/>
      <c r="K43" s="45"/>
      <c r="L43" s="45"/>
      <c r="M43" s="28"/>
    </row>
    <row r="44" spans="1:17" x14ac:dyDescent="0.2">
      <c r="A44" s="32"/>
      <c r="B44" s="39"/>
      <c r="C44" s="39"/>
      <c r="D44" s="39"/>
      <c r="E44" s="39"/>
      <c r="F44" s="39"/>
      <c r="G44" s="40"/>
      <c r="H44" s="39"/>
      <c r="I44" s="39"/>
      <c r="J44" s="39"/>
      <c r="K44" s="39"/>
      <c r="L44" s="39"/>
      <c r="M44" s="28"/>
    </row>
  </sheetData>
  <sheetProtection algorithmName="SHA-512" hashValue="OMKYU2GLGxwT7gfxx9eChaTkn8U7q84xFO8JcT6Zlw/g1OFUsCqZiBCmR7i9sgkF1gZR1OxX7x8S9o8yts/Cjg==" saltValue="ANajbeh/srbbXvRItvVZgw==" spinCount="100000" sheet="1" objects="1" scenarios="1" selectLockedCells="1"/>
  <mergeCells count="36">
    <mergeCell ref="I33:K33"/>
    <mergeCell ref="I31:K31"/>
    <mergeCell ref="A1:A28"/>
    <mergeCell ref="B43:G43"/>
    <mergeCell ref="I12:K12"/>
    <mergeCell ref="I13:K13"/>
    <mergeCell ref="I40:K40"/>
    <mergeCell ref="I41:K41"/>
    <mergeCell ref="I38:K38"/>
    <mergeCell ref="I18:K18"/>
    <mergeCell ref="I19:K19"/>
    <mergeCell ref="I21:K21"/>
    <mergeCell ref="I23:K23"/>
    <mergeCell ref="I24:K24"/>
    <mergeCell ref="I27:K27"/>
    <mergeCell ref="I28:K28"/>
    <mergeCell ref="I29:K29"/>
    <mergeCell ref="I39:K39"/>
    <mergeCell ref="I36:K36"/>
    <mergeCell ref="I37:K37"/>
    <mergeCell ref="I35:K35"/>
    <mergeCell ref="I34:K34"/>
    <mergeCell ref="I22:K22"/>
    <mergeCell ref="I26:K26"/>
    <mergeCell ref="B6:D6"/>
    <mergeCell ref="J2:L3"/>
    <mergeCell ref="I14:K14"/>
    <mergeCell ref="I15:K15"/>
    <mergeCell ref="I17:K17"/>
    <mergeCell ref="I25:K25"/>
    <mergeCell ref="B16:D16"/>
    <mergeCell ref="B2:G2"/>
    <mergeCell ref="I10:K10"/>
    <mergeCell ref="I16:K16"/>
    <mergeCell ref="B12:E12"/>
    <mergeCell ref="I20:K20"/>
  </mergeCells>
  <conditionalFormatting sqref="A1">
    <cfRule type="expression" dxfId="9" priority="4">
      <formula>$G$16="ja"</formula>
    </cfRule>
  </conditionalFormatting>
  <conditionalFormatting sqref="A31:A32">
    <cfRule type="expression" dxfId="8" priority="11">
      <formula>$G$6&lt;&gt;"nee"</formula>
    </cfRule>
    <cfRule type="expression" dxfId="7" priority="10">
      <formula>$G$16&lt;&gt;"ja"</formula>
    </cfRule>
  </conditionalFormatting>
  <conditionalFormatting sqref="B23:K25">
    <cfRule type="expression" dxfId="6" priority="12">
      <formula>$G$21&lt;&gt;"ja"</formula>
    </cfRule>
  </conditionalFormatting>
  <conditionalFormatting sqref="B31:K32">
    <cfRule type="expression" dxfId="5" priority="27">
      <formula>AND($G$27&lt;&gt;"ja",$G$28&lt;&gt;"ja",$G$29&lt;&gt;"ja")</formula>
    </cfRule>
  </conditionalFormatting>
  <conditionalFormatting sqref="B33:K33">
    <cfRule type="expression" dxfId="4" priority="15">
      <formula>AND($G$28&lt;&gt;"ja",$G$29&lt;&gt;"ja")</formula>
    </cfRule>
  </conditionalFormatting>
  <conditionalFormatting sqref="B9:L42">
    <cfRule type="expression" dxfId="3" priority="7">
      <formula>OR($G$6&lt;&gt;"nee",$G$7="")</formula>
    </cfRule>
  </conditionalFormatting>
  <conditionalFormatting sqref="B12:L13">
    <cfRule type="expression" dxfId="2" priority="14">
      <formula>$G$10&lt;&gt;"ja"</formula>
    </cfRule>
  </conditionalFormatting>
  <conditionalFormatting sqref="B18:L35">
    <cfRule type="expression" dxfId="1" priority="13">
      <formula>$G$16&lt;&gt;"ja"</formula>
    </cfRule>
  </conditionalFormatting>
  <conditionalFormatting sqref="I12:K41">
    <cfRule type="expression" dxfId="0" priority="5">
      <formula>LEFT(I12,6)="let op"</formula>
    </cfRule>
  </conditionalFormatting>
  <dataValidations count="3">
    <dataValidation type="list" allowBlank="1" showInputMessage="1" showErrorMessage="1" sqref="G20 G26 G34" xr:uid="{00000000-0002-0000-0000-000000000000}">
      <formula1>"Ja, Nee"</formula1>
    </dataValidation>
    <dataValidation type="list" showInputMessage="1" showErrorMessage="1" sqref="G38:G41 K5:K7 G10 G12:G13 G16 G19 G21 G23:G25 G27:G29 G31 G33 G35 G5:G7" xr:uid="{00000000-0002-0000-0000-000001000000}">
      <formula1>$M$1:$M$3</formula1>
    </dataValidation>
    <dataValidation type="decimal" operator="greaterThan" allowBlank="1" showInputMessage="1" showErrorMessage="1" sqref="C18 E18" xr:uid="{00000000-0002-0000-0000-000002000000}">
      <formula1>0</formula1>
    </dataValidation>
  </dataValidations>
  <pageMargins left="0.7" right="0.7" top="0.75" bottom="0.75" header="0.3" footer="0.3"/>
  <pageSetup paperSize="66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1:J76"/>
  <sheetViews>
    <sheetView topLeftCell="E1" workbookViewId="0">
      <selection activeCell="J31" sqref="J31:J33"/>
    </sheetView>
  </sheetViews>
  <sheetFormatPr baseColWidth="10" defaultColWidth="5.5" defaultRowHeight="15" x14ac:dyDescent="0.2"/>
  <cols>
    <col min="5" max="5" width="57.1640625" bestFit="1" customWidth="1"/>
    <col min="6" max="6" width="53.5" bestFit="1" customWidth="1"/>
    <col min="7" max="7" width="7.5" bestFit="1" customWidth="1"/>
    <col min="8" max="9" width="7.5" customWidth="1"/>
    <col min="10" max="10" width="7.5" bestFit="1" customWidth="1"/>
    <col min="13" max="13" width="6" bestFit="1" customWidth="1"/>
  </cols>
  <sheetData>
    <row r="1" spans="3:10" ht="16" thickBot="1" x14ac:dyDescent="0.25"/>
    <row r="2" spans="3:10" ht="17" thickBot="1" x14ac:dyDescent="0.25">
      <c r="C2" s="1" t="s">
        <v>31</v>
      </c>
      <c r="D2" s="2"/>
      <c r="E2" s="3"/>
      <c r="F2" s="3"/>
      <c r="G2" s="4">
        <v>2022</v>
      </c>
      <c r="H2" s="36">
        <v>2023</v>
      </c>
      <c r="I2" s="36">
        <v>2025</v>
      </c>
      <c r="J2" s="36">
        <v>2026</v>
      </c>
    </row>
    <row r="3" spans="3:10" x14ac:dyDescent="0.2">
      <c r="C3" s="5"/>
      <c r="D3" s="6"/>
      <c r="E3" s="7"/>
      <c r="F3" s="7"/>
      <c r="G3" s="8"/>
      <c r="H3" s="8"/>
      <c r="I3" s="8"/>
      <c r="J3" s="8"/>
    </row>
    <row r="4" spans="3:10" x14ac:dyDescent="0.2">
      <c r="C4" s="9"/>
      <c r="D4" s="6" t="s">
        <v>32</v>
      </c>
      <c r="E4" s="6"/>
      <c r="F4" s="7"/>
      <c r="G4" s="10"/>
      <c r="H4" s="10"/>
      <c r="I4" s="10"/>
      <c r="J4" s="10"/>
    </row>
    <row r="5" spans="3:10" x14ac:dyDescent="0.2">
      <c r="C5" s="9"/>
      <c r="D5" s="7"/>
      <c r="E5" s="11" t="s">
        <v>33</v>
      </c>
      <c r="F5" s="7" t="s">
        <v>34</v>
      </c>
      <c r="G5" s="12">
        <v>57</v>
      </c>
      <c r="H5" s="12">
        <v>57</v>
      </c>
      <c r="I5" s="12">
        <v>65</v>
      </c>
      <c r="J5" s="12">
        <v>65</v>
      </c>
    </row>
    <row r="6" spans="3:10" x14ac:dyDescent="0.2">
      <c r="C6" s="9"/>
      <c r="D6" s="7"/>
      <c r="E6" s="11" t="s">
        <v>35</v>
      </c>
      <c r="F6" s="7" t="s">
        <v>34</v>
      </c>
      <c r="G6" s="12">
        <v>17.5</v>
      </c>
      <c r="H6" s="12">
        <v>17.5</v>
      </c>
      <c r="I6" s="12">
        <v>20</v>
      </c>
      <c r="J6" s="12">
        <v>20</v>
      </c>
    </row>
    <row r="7" spans="3:10" x14ac:dyDescent="0.2">
      <c r="C7" s="9"/>
      <c r="D7" s="7"/>
      <c r="E7" s="11" t="s">
        <v>138</v>
      </c>
      <c r="F7" s="7" t="s">
        <v>34</v>
      </c>
      <c r="G7" s="12">
        <v>20</v>
      </c>
      <c r="H7" s="12">
        <v>20</v>
      </c>
      <c r="I7" s="12">
        <v>25</v>
      </c>
      <c r="J7" s="12">
        <v>25</v>
      </c>
    </row>
    <row r="8" spans="3:10" x14ac:dyDescent="0.2">
      <c r="C8" s="9"/>
      <c r="D8" s="7"/>
      <c r="E8" s="11" t="s">
        <v>36</v>
      </c>
      <c r="F8" s="7" t="s">
        <v>37</v>
      </c>
      <c r="G8" s="12">
        <v>12.5</v>
      </c>
      <c r="H8" s="12">
        <v>12.5</v>
      </c>
      <c r="I8" s="12">
        <v>15</v>
      </c>
      <c r="J8" s="12">
        <v>15</v>
      </c>
    </row>
    <row r="9" spans="3:10" x14ac:dyDescent="0.2">
      <c r="C9" s="9"/>
      <c r="D9" s="7"/>
      <c r="E9" s="7" t="s">
        <v>38</v>
      </c>
      <c r="F9" s="7" t="s">
        <v>39</v>
      </c>
      <c r="G9" s="12">
        <v>12.5</v>
      </c>
      <c r="H9" s="12">
        <v>12.5</v>
      </c>
      <c r="I9" s="12">
        <v>12.5</v>
      </c>
      <c r="J9" s="12">
        <v>12.5</v>
      </c>
    </row>
    <row r="10" spans="3:10" x14ac:dyDescent="0.2">
      <c r="C10" s="9"/>
      <c r="D10" s="7"/>
      <c r="E10" s="7" t="s">
        <v>40</v>
      </c>
      <c r="F10" s="7" t="s">
        <v>41</v>
      </c>
      <c r="G10" s="13">
        <v>25</v>
      </c>
      <c r="H10" s="13" t="s">
        <v>42</v>
      </c>
      <c r="I10" s="13" t="s">
        <v>42</v>
      </c>
      <c r="J10" s="13" t="s">
        <v>42</v>
      </c>
    </row>
    <row r="11" spans="3:10" x14ac:dyDescent="0.2">
      <c r="C11" s="9"/>
      <c r="D11" s="7"/>
      <c r="E11" s="7" t="s">
        <v>43</v>
      </c>
      <c r="F11" s="7" t="s">
        <v>44</v>
      </c>
      <c r="G11" s="13" t="s">
        <v>42</v>
      </c>
      <c r="H11" s="13" t="s">
        <v>42</v>
      </c>
      <c r="I11" s="13" t="s">
        <v>42</v>
      </c>
      <c r="J11" s="13" t="s">
        <v>42</v>
      </c>
    </row>
    <row r="12" spans="3:10" ht="16" x14ac:dyDescent="0.2">
      <c r="C12" s="9"/>
      <c r="D12" s="6" t="s">
        <v>45</v>
      </c>
      <c r="E12" s="6"/>
      <c r="F12" s="7"/>
      <c r="G12" s="14"/>
      <c r="H12" s="14"/>
      <c r="I12" s="14"/>
      <c r="J12" s="14"/>
    </row>
    <row r="13" spans="3:10" ht="16" x14ac:dyDescent="0.2">
      <c r="C13" s="9"/>
      <c r="D13" s="7"/>
      <c r="E13" s="11" t="s">
        <v>46</v>
      </c>
      <c r="F13" s="7" t="s">
        <v>47</v>
      </c>
      <c r="G13" s="12">
        <f>15*1.21</f>
        <v>18.149999999999999</v>
      </c>
      <c r="H13" s="12">
        <f>15*1.21</f>
        <v>18.149999999999999</v>
      </c>
      <c r="I13" s="12">
        <v>19.97</v>
      </c>
      <c r="J13" s="12">
        <v>19.97</v>
      </c>
    </row>
    <row r="14" spans="3:10" x14ac:dyDescent="0.2">
      <c r="C14" s="9"/>
      <c r="D14" s="6" t="s">
        <v>48</v>
      </c>
      <c r="E14" s="6"/>
      <c r="F14" s="7"/>
      <c r="G14" s="14"/>
      <c r="H14" s="14"/>
      <c r="I14" s="14"/>
      <c r="J14" s="14"/>
    </row>
    <row r="15" spans="3:10" x14ac:dyDescent="0.2">
      <c r="C15" s="9"/>
      <c r="D15" s="7"/>
      <c r="E15" s="11" t="s">
        <v>49</v>
      </c>
      <c r="F15" s="7" t="s">
        <v>34</v>
      </c>
      <c r="G15" s="12">
        <v>86</v>
      </c>
      <c r="H15" s="12">
        <v>96</v>
      </c>
      <c r="I15" s="12">
        <v>109</v>
      </c>
      <c r="J15" s="12">
        <v>109</v>
      </c>
    </row>
    <row r="16" spans="3:10" x14ac:dyDescent="0.2">
      <c r="C16" s="9"/>
      <c r="D16" s="7"/>
      <c r="E16" s="11" t="s">
        <v>50</v>
      </c>
      <c r="F16" s="7" t="s">
        <v>34</v>
      </c>
      <c r="G16" s="12">
        <v>62</v>
      </c>
      <c r="H16" s="12">
        <v>82</v>
      </c>
      <c r="I16" s="12">
        <v>90</v>
      </c>
      <c r="J16" s="12">
        <v>90</v>
      </c>
    </row>
    <row r="17" spans="3:10" ht="16" thickBot="1" x14ac:dyDescent="0.25">
      <c r="C17" s="15"/>
      <c r="D17" s="16"/>
      <c r="E17" s="16"/>
      <c r="F17" s="16"/>
      <c r="G17" s="17"/>
      <c r="H17" s="17"/>
      <c r="I17" s="17"/>
      <c r="J17" s="17"/>
    </row>
    <row r="18" spans="3:10" ht="16" thickBot="1" x14ac:dyDescent="0.25">
      <c r="C18" s="7"/>
      <c r="D18" s="7"/>
      <c r="E18" s="7"/>
      <c r="F18" s="7"/>
      <c r="G18" s="18"/>
      <c r="H18" s="18"/>
      <c r="I18" s="18"/>
      <c r="J18" s="18"/>
    </row>
    <row r="19" spans="3:10" ht="17" thickBot="1" x14ac:dyDescent="0.25">
      <c r="C19" s="1" t="s">
        <v>51</v>
      </c>
      <c r="D19" s="2"/>
      <c r="E19" s="2"/>
      <c r="F19" s="3"/>
      <c r="G19" s="4">
        <f>G2</f>
        <v>2022</v>
      </c>
      <c r="H19" s="4">
        <f>H2</f>
        <v>2023</v>
      </c>
      <c r="I19" s="4">
        <f>I2</f>
        <v>2025</v>
      </c>
      <c r="J19" s="4">
        <f>J2</f>
        <v>2026</v>
      </c>
    </row>
    <row r="20" spans="3:10" x14ac:dyDescent="0.2">
      <c r="C20" s="5"/>
      <c r="D20" s="6"/>
      <c r="E20" s="6"/>
      <c r="F20" s="7"/>
      <c r="G20" s="8"/>
      <c r="H20" s="8"/>
      <c r="I20" s="8"/>
      <c r="J20" s="8"/>
    </row>
    <row r="21" spans="3:10" ht="16" x14ac:dyDescent="0.2">
      <c r="C21" s="9"/>
      <c r="D21" s="6" t="s">
        <v>52</v>
      </c>
      <c r="E21" s="6"/>
      <c r="F21" s="7"/>
      <c r="G21" s="12"/>
      <c r="H21" s="12"/>
      <c r="I21" s="12"/>
      <c r="J21" s="12"/>
    </row>
    <row r="22" spans="3:10" ht="16" x14ac:dyDescent="0.2">
      <c r="C22" s="9"/>
      <c r="D22" s="7"/>
      <c r="E22" s="11" t="s">
        <v>133</v>
      </c>
      <c r="F22" s="7" t="s">
        <v>53</v>
      </c>
      <c r="G22" s="12">
        <v>14.156999999999998</v>
      </c>
      <c r="H22" s="12">
        <v>14.156999999999998</v>
      </c>
      <c r="I22" s="12">
        <v>16.5</v>
      </c>
      <c r="J22" s="12">
        <v>16.5</v>
      </c>
    </row>
    <row r="23" spans="3:10" ht="16" x14ac:dyDescent="0.2">
      <c r="C23" s="9"/>
      <c r="D23" s="7"/>
      <c r="E23" s="7" t="s">
        <v>54</v>
      </c>
      <c r="F23" s="7" t="s">
        <v>55</v>
      </c>
      <c r="G23" s="12">
        <v>18.851800000000001</v>
      </c>
      <c r="H23" s="12">
        <v>18.851800000000001</v>
      </c>
      <c r="I23" s="12">
        <v>20.74</v>
      </c>
      <c r="J23" s="12">
        <v>20.74</v>
      </c>
    </row>
    <row r="24" spans="3:10" x14ac:dyDescent="0.2">
      <c r="C24" s="9"/>
      <c r="D24" s="7"/>
      <c r="E24" s="11" t="s">
        <v>56</v>
      </c>
      <c r="F24" s="7" t="s">
        <v>57</v>
      </c>
      <c r="G24" s="12">
        <v>16</v>
      </c>
      <c r="H24" s="12">
        <v>25</v>
      </c>
      <c r="I24" s="12">
        <v>27.5</v>
      </c>
      <c r="J24" s="12">
        <v>27.5</v>
      </c>
    </row>
    <row r="25" spans="3:10" ht="16" x14ac:dyDescent="0.2">
      <c r="C25" s="9"/>
      <c r="D25" s="7"/>
      <c r="E25" s="11" t="s">
        <v>58</v>
      </c>
      <c r="F25" s="7" t="s">
        <v>59</v>
      </c>
      <c r="G25" s="12">
        <v>5.3845000000000001</v>
      </c>
      <c r="H25" s="12">
        <v>5.3845000000000001</v>
      </c>
      <c r="I25" s="12">
        <v>5.92</v>
      </c>
      <c r="J25" s="12">
        <v>5.92</v>
      </c>
    </row>
    <row r="26" spans="3:10" ht="16" x14ac:dyDescent="0.2">
      <c r="C26" s="9"/>
      <c r="D26" s="7"/>
      <c r="E26" s="11" t="s">
        <v>60</v>
      </c>
      <c r="F26" s="7" t="s">
        <v>61</v>
      </c>
      <c r="G26" s="12">
        <v>22.626999999999999</v>
      </c>
      <c r="H26" s="12">
        <v>22.626999999999999</v>
      </c>
      <c r="I26" s="12">
        <v>24.89</v>
      </c>
      <c r="J26" s="12">
        <v>24.89</v>
      </c>
    </row>
    <row r="27" spans="3:10" ht="16" x14ac:dyDescent="0.2">
      <c r="C27" s="9"/>
      <c r="D27" s="7"/>
      <c r="E27" s="11" t="s">
        <v>62</v>
      </c>
      <c r="F27" s="7" t="s">
        <v>61</v>
      </c>
      <c r="G27" s="12">
        <v>11.313499999999999</v>
      </c>
      <c r="H27" s="12">
        <v>11.313499999999999</v>
      </c>
      <c r="I27" s="12">
        <v>12.44</v>
      </c>
      <c r="J27" s="12">
        <v>12.44</v>
      </c>
    </row>
    <row r="28" spans="3:10" ht="16" x14ac:dyDescent="0.2">
      <c r="C28" s="9"/>
      <c r="D28" s="7"/>
      <c r="E28" s="7" t="s">
        <v>63</v>
      </c>
      <c r="F28" s="7" t="s">
        <v>61</v>
      </c>
      <c r="G28" s="12">
        <v>16.98</v>
      </c>
      <c r="H28" s="12">
        <v>16.98</v>
      </c>
      <c r="I28" s="12">
        <v>18.68</v>
      </c>
      <c r="J28" s="12">
        <v>18.68</v>
      </c>
    </row>
    <row r="29" spans="3:10" x14ac:dyDescent="0.2">
      <c r="C29" s="9"/>
      <c r="D29" s="7"/>
      <c r="E29" s="7" t="s">
        <v>64</v>
      </c>
      <c r="F29" s="7" t="s">
        <v>57</v>
      </c>
      <c r="G29" s="12">
        <v>25</v>
      </c>
      <c r="H29" s="12">
        <v>25</v>
      </c>
      <c r="I29" s="12">
        <v>27.5</v>
      </c>
      <c r="J29" s="12">
        <v>27.5</v>
      </c>
    </row>
    <row r="30" spans="3:10" x14ac:dyDescent="0.2">
      <c r="C30" s="9"/>
      <c r="D30" s="6" t="s">
        <v>65</v>
      </c>
      <c r="E30" s="7"/>
      <c r="F30" s="7"/>
      <c r="G30" s="12"/>
      <c r="H30" s="12"/>
      <c r="I30" s="12"/>
      <c r="J30" s="12"/>
    </row>
    <row r="31" spans="3:10" x14ac:dyDescent="0.2">
      <c r="C31" s="9"/>
      <c r="D31" s="7"/>
      <c r="E31" s="11" t="s">
        <v>66</v>
      </c>
      <c r="F31" s="7" t="s">
        <v>67</v>
      </c>
      <c r="G31" s="13">
        <v>47.25</v>
      </c>
      <c r="H31" s="13">
        <v>47.25</v>
      </c>
      <c r="I31" s="13">
        <v>92.93</v>
      </c>
      <c r="J31" s="13">
        <v>95.57</v>
      </c>
    </row>
    <row r="32" spans="3:10" x14ac:dyDescent="0.2">
      <c r="C32" s="9"/>
      <c r="D32" s="7"/>
      <c r="E32" s="11" t="s">
        <v>68</v>
      </c>
      <c r="F32" s="7" t="s">
        <v>69</v>
      </c>
      <c r="G32" s="13">
        <v>59.4</v>
      </c>
      <c r="H32" s="13">
        <v>59.4</v>
      </c>
      <c r="I32" s="13">
        <v>116.82</v>
      </c>
      <c r="J32" s="13">
        <v>120.14</v>
      </c>
    </row>
    <row r="33" spans="3:10" x14ac:dyDescent="0.2">
      <c r="C33" s="9"/>
      <c r="D33" s="7"/>
      <c r="E33" s="11" t="s">
        <v>70</v>
      </c>
      <c r="F33" s="7" t="s">
        <v>69</v>
      </c>
      <c r="G33" s="13">
        <v>74.099999999999994</v>
      </c>
      <c r="H33" s="13">
        <v>74.099999999999994</v>
      </c>
      <c r="I33" s="13">
        <v>145.72999999999999</v>
      </c>
      <c r="J33" s="13">
        <v>149.87</v>
      </c>
    </row>
    <row r="34" spans="3:10" ht="16" x14ac:dyDescent="0.2">
      <c r="C34" s="9"/>
      <c r="D34" s="6" t="s">
        <v>71</v>
      </c>
      <c r="E34" s="6"/>
      <c r="F34" s="7"/>
      <c r="G34" s="12"/>
      <c r="H34" s="12"/>
      <c r="I34" s="12"/>
      <c r="J34" s="12"/>
    </row>
    <row r="35" spans="3:10" x14ac:dyDescent="0.2">
      <c r="C35" s="9"/>
      <c r="D35" s="7"/>
      <c r="E35" s="11" t="s">
        <v>126</v>
      </c>
      <c r="F35" s="11" t="s">
        <v>73</v>
      </c>
      <c r="G35" s="12">
        <v>36.299999999999997</v>
      </c>
      <c r="H35" s="12">
        <v>42.35</v>
      </c>
      <c r="I35" s="12">
        <v>42.35</v>
      </c>
      <c r="J35" s="12">
        <v>42.35</v>
      </c>
    </row>
    <row r="36" spans="3:10" x14ac:dyDescent="0.2">
      <c r="C36" s="9"/>
      <c r="D36" s="7"/>
      <c r="E36" s="11" t="s">
        <v>127</v>
      </c>
      <c r="F36" s="11" t="s">
        <v>74</v>
      </c>
      <c r="G36" s="12">
        <v>18.149999999999999</v>
      </c>
      <c r="H36" s="12">
        <v>21.18</v>
      </c>
      <c r="I36" s="12">
        <v>21.18</v>
      </c>
      <c r="J36" s="12">
        <v>21.18</v>
      </c>
    </row>
    <row r="37" spans="3:10" ht="16" x14ac:dyDescent="0.2">
      <c r="C37" s="9"/>
      <c r="D37" s="7"/>
      <c r="E37" s="11" t="s">
        <v>75</v>
      </c>
      <c r="F37" s="7" t="s">
        <v>76</v>
      </c>
      <c r="G37" s="12">
        <v>4.3559999999999999</v>
      </c>
      <c r="H37" s="12">
        <v>4.3559999999999999</v>
      </c>
      <c r="I37" s="12">
        <v>4.79</v>
      </c>
      <c r="J37" s="12">
        <v>4.79</v>
      </c>
    </row>
    <row r="38" spans="3:10" ht="16" x14ac:dyDescent="0.2">
      <c r="C38" s="9"/>
      <c r="D38" s="6" t="s">
        <v>77</v>
      </c>
      <c r="E38" s="6"/>
      <c r="F38" s="7"/>
      <c r="G38" s="12"/>
      <c r="H38" s="14"/>
      <c r="I38" s="14"/>
      <c r="J38" s="14"/>
    </row>
    <row r="39" spans="3:10" ht="16" x14ac:dyDescent="0.2">
      <c r="C39" s="9"/>
      <c r="D39" s="7"/>
      <c r="E39" s="7" t="s">
        <v>78</v>
      </c>
      <c r="F39" s="7" t="s">
        <v>79</v>
      </c>
      <c r="G39" s="12">
        <v>0.25</v>
      </c>
      <c r="H39" s="12">
        <v>0.25</v>
      </c>
      <c r="I39" s="12">
        <v>0.3</v>
      </c>
      <c r="J39" s="12">
        <v>0.3</v>
      </c>
    </row>
    <row r="40" spans="3:10" x14ac:dyDescent="0.2">
      <c r="C40" s="9"/>
      <c r="D40" s="7"/>
      <c r="E40" s="7" t="s">
        <v>80</v>
      </c>
      <c r="F40" s="7" t="s">
        <v>39</v>
      </c>
      <c r="G40" s="12">
        <v>10</v>
      </c>
      <c r="H40" s="12">
        <v>10</v>
      </c>
      <c r="I40" s="12">
        <v>11</v>
      </c>
      <c r="J40" s="12">
        <v>11</v>
      </c>
    </row>
    <row r="41" spans="3:10" ht="16" x14ac:dyDescent="0.2">
      <c r="C41" s="9"/>
      <c r="D41" s="7"/>
      <c r="E41" s="7" t="s">
        <v>81</v>
      </c>
      <c r="F41" s="7" t="s">
        <v>82</v>
      </c>
      <c r="G41" s="12">
        <v>2</v>
      </c>
      <c r="H41" s="12">
        <v>2</v>
      </c>
      <c r="I41" s="12">
        <v>2.25</v>
      </c>
      <c r="J41" s="12">
        <v>2.25</v>
      </c>
    </row>
    <row r="42" spans="3:10" x14ac:dyDescent="0.2">
      <c r="C42" s="9"/>
      <c r="D42" s="7"/>
      <c r="E42" s="7" t="s">
        <v>83</v>
      </c>
      <c r="F42" s="7" t="s">
        <v>84</v>
      </c>
      <c r="G42" s="12">
        <v>15</v>
      </c>
      <c r="H42" s="12">
        <v>15</v>
      </c>
      <c r="I42" s="12">
        <v>16.5</v>
      </c>
      <c r="J42" s="12">
        <v>16.5</v>
      </c>
    </row>
    <row r="43" spans="3:10" x14ac:dyDescent="0.2">
      <c r="C43" s="9"/>
      <c r="D43" s="7"/>
      <c r="E43" s="7" t="s">
        <v>85</v>
      </c>
      <c r="F43" s="7" t="s">
        <v>86</v>
      </c>
      <c r="G43" s="12">
        <v>15</v>
      </c>
      <c r="H43" s="12">
        <v>15</v>
      </c>
      <c r="I43" s="12">
        <v>16.5</v>
      </c>
      <c r="J43" s="12">
        <v>16.5</v>
      </c>
    </row>
    <row r="44" spans="3:10" ht="16" thickBot="1" x14ac:dyDescent="0.25">
      <c r="C44" s="15"/>
      <c r="D44" s="16"/>
      <c r="E44" s="16"/>
      <c r="F44" s="16"/>
      <c r="G44" s="17"/>
      <c r="H44" s="17"/>
      <c r="I44" s="17"/>
      <c r="J44" s="17"/>
    </row>
    <row r="45" spans="3:10" ht="16" thickBot="1" x14ac:dyDescent="0.25">
      <c r="C45" s="3"/>
      <c r="D45" s="3"/>
      <c r="E45" s="3"/>
      <c r="F45" s="3"/>
      <c r="G45" s="19"/>
      <c r="H45" s="19"/>
      <c r="I45" s="19"/>
      <c r="J45" s="19"/>
    </row>
    <row r="46" spans="3:10" ht="17" thickBot="1" x14ac:dyDescent="0.25">
      <c r="C46" s="1" t="s">
        <v>87</v>
      </c>
      <c r="D46" s="2"/>
      <c r="E46" s="2"/>
      <c r="F46" s="3"/>
      <c r="G46" s="4">
        <f>G2</f>
        <v>2022</v>
      </c>
      <c r="H46" s="4">
        <f>H2</f>
        <v>2023</v>
      </c>
      <c r="I46" s="4">
        <f>I2</f>
        <v>2025</v>
      </c>
      <c r="J46" s="4">
        <f>J2</f>
        <v>2026</v>
      </c>
    </row>
    <row r="47" spans="3:10" x14ac:dyDescent="0.2">
      <c r="C47" s="9"/>
      <c r="D47" s="7"/>
      <c r="E47" s="7"/>
      <c r="F47" s="7"/>
      <c r="G47" s="12"/>
      <c r="H47" s="12"/>
      <c r="I47" s="12"/>
      <c r="J47" s="12"/>
    </row>
    <row r="48" spans="3:10" x14ac:dyDescent="0.2">
      <c r="C48" s="9"/>
      <c r="D48" s="6" t="s">
        <v>88</v>
      </c>
      <c r="E48" s="6"/>
      <c r="F48" s="7"/>
      <c r="G48" s="12"/>
      <c r="H48" s="12"/>
      <c r="I48" s="12"/>
      <c r="J48" s="12"/>
    </row>
    <row r="49" spans="3:10" x14ac:dyDescent="0.2">
      <c r="C49" s="9"/>
      <c r="D49" s="7"/>
      <c r="E49" s="11" t="s">
        <v>129</v>
      </c>
      <c r="F49" s="7" t="s">
        <v>34</v>
      </c>
      <c r="G49" s="12">
        <v>76</v>
      </c>
      <c r="H49" s="12">
        <v>76</v>
      </c>
      <c r="I49" s="12">
        <v>82</v>
      </c>
      <c r="J49" s="12">
        <v>82</v>
      </c>
    </row>
    <row r="50" spans="3:10" x14ac:dyDescent="0.2">
      <c r="C50" s="9"/>
      <c r="D50" s="7"/>
      <c r="E50" s="11" t="s">
        <v>131</v>
      </c>
      <c r="F50" s="7" t="s">
        <v>89</v>
      </c>
      <c r="G50" s="12">
        <v>25</v>
      </c>
      <c r="H50" s="12">
        <v>25</v>
      </c>
      <c r="I50" s="12">
        <v>30</v>
      </c>
      <c r="J50" s="12">
        <v>30</v>
      </c>
    </row>
    <row r="51" spans="3:10" x14ac:dyDescent="0.2">
      <c r="C51" s="9"/>
      <c r="D51" s="7"/>
      <c r="E51" s="11" t="s">
        <v>130</v>
      </c>
      <c r="F51" s="7" t="s">
        <v>34</v>
      </c>
      <c r="G51" s="12">
        <v>254</v>
      </c>
      <c r="H51" s="12">
        <v>254</v>
      </c>
      <c r="I51" s="12">
        <v>265</v>
      </c>
      <c r="J51" s="12">
        <v>265</v>
      </c>
    </row>
    <row r="52" spans="3:10" x14ac:dyDescent="0.2">
      <c r="C52" s="9"/>
      <c r="D52" s="7"/>
      <c r="E52" s="7" t="s">
        <v>90</v>
      </c>
      <c r="F52" s="7" t="s">
        <v>34</v>
      </c>
      <c r="G52" s="12">
        <v>-50</v>
      </c>
      <c r="H52" s="12">
        <v>-50</v>
      </c>
      <c r="I52" s="12">
        <v>-50</v>
      </c>
      <c r="J52" s="12">
        <v>-50</v>
      </c>
    </row>
    <row r="53" spans="3:10" x14ac:dyDescent="0.2">
      <c r="C53" s="9"/>
      <c r="D53" s="7"/>
      <c r="E53" s="20" t="s">
        <v>91</v>
      </c>
      <c r="F53" s="20" t="s">
        <v>37</v>
      </c>
      <c r="G53" s="21">
        <v>25</v>
      </c>
      <c r="H53" s="21">
        <v>25</v>
      </c>
      <c r="I53" s="21">
        <v>25</v>
      </c>
      <c r="J53" s="21">
        <v>25</v>
      </c>
    </row>
    <row r="54" spans="3:10" x14ac:dyDescent="0.2">
      <c r="C54" s="9"/>
      <c r="D54" s="6" t="s">
        <v>92</v>
      </c>
      <c r="E54" s="7"/>
      <c r="F54" s="7"/>
      <c r="G54" s="12"/>
      <c r="H54" s="14"/>
      <c r="I54" s="14"/>
      <c r="J54" s="14"/>
    </row>
    <row r="55" spans="3:10" x14ac:dyDescent="0.2">
      <c r="C55" s="9"/>
      <c r="D55" s="7"/>
      <c r="E55" s="7" t="s">
        <v>93</v>
      </c>
      <c r="F55" s="7" t="s">
        <v>42</v>
      </c>
      <c r="G55" s="12">
        <v>0</v>
      </c>
      <c r="H55" s="12">
        <v>0</v>
      </c>
      <c r="I55" s="12">
        <v>0</v>
      </c>
      <c r="J55" s="12">
        <v>0</v>
      </c>
    </row>
    <row r="56" spans="3:10" x14ac:dyDescent="0.2">
      <c r="C56" s="9"/>
      <c r="D56" s="7"/>
      <c r="E56" s="20" t="s">
        <v>94</v>
      </c>
      <c r="F56" s="20" t="s">
        <v>95</v>
      </c>
      <c r="G56" s="21">
        <v>20</v>
      </c>
      <c r="H56" s="21">
        <v>20</v>
      </c>
      <c r="I56" s="21">
        <v>50</v>
      </c>
      <c r="J56" s="21">
        <v>50</v>
      </c>
    </row>
    <row r="57" spans="3:10" x14ac:dyDescent="0.2">
      <c r="C57" s="9"/>
      <c r="D57" s="7"/>
      <c r="E57" s="20" t="s">
        <v>96</v>
      </c>
      <c r="F57" s="20" t="s">
        <v>97</v>
      </c>
      <c r="G57" s="21">
        <v>50</v>
      </c>
      <c r="H57" s="21">
        <v>50</v>
      </c>
      <c r="I57" s="21">
        <v>100</v>
      </c>
      <c r="J57" s="21">
        <v>100</v>
      </c>
    </row>
    <row r="58" spans="3:10" x14ac:dyDescent="0.2">
      <c r="C58" s="9"/>
      <c r="D58" s="7"/>
      <c r="E58" s="7" t="s">
        <v>98</v>
      </c>
      <c r="F58" s="7" t="s">
        <v>99</v>
      </c>
      <c r="G58" s="12">
        <v>150</v>
      </c>
      <c r="H58" s="12">
        <v>250</v>
      </c>
      <c r="I58" s="12">
        <v>250</v>
      </c>
      <c r="J58" s="12">
        <v>250</v>
      </c>
    </row>
    <row r="59" spans="3:10" ht="16" thickBot="1" x14ac:dyDescent="0.25">
      <c r="C59" s="15"/>
      <c r="D59" s="16"/>
      <c r="E59" s="16"/>
      <c r="F59" s="16"/>
      <c r="G59" s="17"/>
      <c r="H59" s="17"/>
      <c r="I59" s="17"/>
      <c r="J59" s="17"/>
    </row>
    <row r="60" spans="3:10" ht="16" thickBot="1" x14ac:dyDescent="0.25">
      <c r="C60" s="3"/>
      <c r="D60" s="3"/>
      <c r="E60" s="3"/>
      <c r="F60" s="3"/>
      <c r="G60" s="19"/>
      <c r="H60" s="19"/>
      <c r="I60" s="19"/>
      <c r="J60" s="19"/>
    </row>
    <row r="61" spans="3:10" ht="17" thickBot="1" x14ac:dyDescent="0.25">
      <c r="C61" s="1" t="s">
        <v>100</v>
      </c>
      <c r="D61" s="2"/>
      <c r="E61" s="2"/>
      <c r="F61" s="3"/>
      <c r="G61" s="4">
        <f>G2</f>
        <v>2022</v>
      </c>
      <c r="H61" s="4">
        <f>H2</f>
        <v>2023</v>
      </c>
      <c r="I61" s="4">
        <f>I2</f>
        <v>2025</v>
      </c>
      <c r="J61" s="4">
        <f>J2</f>
        <v>2026</v>
      </c>
    </row>
    <row r="62" spans="3:10" x14ac:dyDescent="0.2">
      <c r="C62" s="9"/>
      <c r="D62" s="7"/>
      <c r="E62" s="7"/>
      <c r="F62" s="7"/>
      <c r="G62" s="12"/>
      <c r="H62" s="12"/>
      <c r="I62" s="12"/>
      <c r="J62" s="12"/>
    </row>
    <row r="63" spans="3:10" x14ac:dyDescent="0.2">
      <c r="C63" s="9"/>
      <c r="D63" s="6" t="s">
        <v>101</v>
      </c>
      <c r="E63" s="7"/>
      <c r="F63" s="7"/>
      <c r="G63" s="12"/>
      <c r="H63" s="12"/>
      <c r="I63" s="12"/>
      <c r="J63" s="12"/>
    </row>
    <row r="64" spans="3:10" ht="16" x14ac:dyDescent="0.2">
      <c r="C64" s="9"/>
      <c r="D64" s="7"/>
      <c r="E64" s="11" t="s">
        <v>118</v>
      </c>
      <c r="F64" s="7" t="s">
        <v>102</v>
      </c>
      <c r="G64" s="12">
        <v>300</v>
      </c>
      <c r="H64" s="12">
        <v>300</v>
      </c>
      <c r="I64" s="12">
        <v>350</v>
      </c>
      <c r="J64" s="12">
        <f>350/1.09*1.21</f>
        <v>388.53211009174305</v>
      </c>
    </row>
    <row r="65" spans="3:10" ht="16" x14ac:dyDescent="0.2">
      <c r="C65" s="9"/>
      <c r="D65" s="7"/>
      <c r="E65" s="11" t="s">
        <v>119</v>
      </c>
      <c r="F65" s="7" t="s">
        <v>103</v>
      </c>
      <c r="G65" s="12">
        <v>150</v>
      </c>
      <c r="H65" s="12">
        <v>150</v>
      </c>
      <c r="I65" s="12">
        <v>175</v>
      </c>
      <c r="J65" s="12">
        <f>175/1.09*1.21</f>
        <v>194.26605504587152</v>
      </c>
    </row>
    <row r="66" spans="3:10" ht="16" x14ac:dyDescent="0.2">
      <c r="C66" s="9"/>
      <c r="D66" s="7"/>
      <c r="E66" s="7" t="s">
        <v>104</v>
      </c>
      <c r="F66" s="7" t="s">
        <v>105</v>
      </c>
      <c r="G66" s="12">
        <v>100</v>
      </c>
      <c r="H66" s="22">
        <v>0.25</v>
      </c>
      <c r="I66" s="22">
        <v>0.25</v>
      </c>
      <c r="J66" s="22">
        <v>0.25</v>
      </c>
    </row>
    <row r="67" spans="3:10" x14ac:dyDescent="0.2">
      <c r="C67" s="9"/>
      <c r="D67" s="7"/>
      <c r="E67" s="7" t="s">
        <v>98</v>
      </c>
      <c r="F67" s="7" t="s">
        <v>106</v>
      </c>
      <c r="G67" s="12">
        <v>175</v>
      </c>
      <c r="H67" s="12">
        <v>175</v>
      </c>
      <c r="I67" s="12">
        <v>175</v>
      </c>
      <c r="J67" s="12">
        <v>175</v>
      </c>
    </row>
    <row r="68" spans="3:10" x14ac:dyDescent="0.2">
      <c r="C68" s="9"/>
      <c r="D68" s="6" t="s">
        <v>107</v>
      </c>
      <c r="E68" s="7"/>
      <c r="F68" s="7"/>
      <c r="G68" s="12"/>
      <c r="H68" s="12"/>
      <c r="I68" s="12"/>
      <c r="J68" s="12"/>
    </row>
    <row r="69" spans="3:10" x14ac:dyDescent="0.2">
      <c r="C69" s="9"/>
      <c r="D69" s="7"/>
      <c r="E69" s="11" t="s">
        <v>116</v>
      </c>
      <c r="F69" s="7" t="s">
        <v>109</v>
      </c>
      <c r="G69" s="12">
        <v>50</v>
      </c>
      <c r="H69" s="12">
        <v>50</v>
      </c>
      <c r="I69" s="12">
        <v>55</v>
      </c>
      <c r="J69" s="12">
        <v>55</v>
      </c>
    </row>
    <row r="70" spans="3:10" x14ac:dyDescent="0.2">
      <c r="C70" s="9"/>
      <c r="D70" s="7"/>
      <c r="E70" s="11" t="s">
        <v>117</v>
      </c>
      <c r="F70" s="7" t="s">
        <v>110</v>
      </c>
      <c r="G70" s="12">
        <v>80</v>
      </c>
      <c r="H70" s="12">
        <v>80</v>
      </c>
      <c r="I70" s="12">
        <v>85</v>
      </c>
      <c r="J70" s="12">
        <v>85</v>
      </c>
    </row>
    <row r="71" spans="3:10" x14ac:dyDescent="0.2">
      <c r="C71" s="9"/>
      <c r="D71" s="7"/>
      <c r="E71" s="55" t="s">
        <v>108</v>
      </c>
      <c r="F71" s="55" t="s">
        <v>97</v>
      </c>
      <c r="G71" s="56">
        <v>100</v>
      </c>
      <c r="H71" s="56">
        <v>100</v>
      </c>
      <c r="I71" s="56">
        <v>100</v>
      </c>
      <c r="J71" s="56">
        <v>100</v>
      </c>
    </row>
    <row r="72" spans="3:10" x14ac:dyDescent="0.2">
      <c r="C72" s="9"/>
      <c r="D72" s="7"/>
      <c r="E72" s="7" t="s">
        <v>98</v>
      </c>
      <c r="F72" s="7" t="s">
        <v>99</v>
      </c>
      <c r="G72" s="12">
        <v>150</v>
      </c>
      <c r="H72" s="12">
        <v>250</v>
      </c>
      <c r="I72" s="12">
        <v>250</v>
      </c>
      <c r="J72" s="12">
        <v>250</v>
      </c>
    </row>
    <row r="73" spans="3:10" x14ac:dyDescent="0.2">
      <c r="C73" s="9"/>
      <c r="D73" s="6" t="s">
        <v>111</v>
      </c>
      <c r="E73" s="6"/>
      <c r="F73" s="7"/>
      <c r="G73" s="12"/>
      <c r="H73" s="14"/>
      <c r="I73" s="14"/>
      <c r="J73" s="14"/>
    </row>
    <row r="74" spans="3:10" x14ac:dyDescent="0.2">
      <c r="C74" s="9"/>
      <c r="D74" s="7"/>
      <c r="E74" s="7" t="s">
        <v>112</v>
      </c>
      <c r="F74" s="7" t="s">
        <v>113</v>
      </c>
      <c r="G74" s="12">
        <v>1</v>
      </c>
      <c r="H74" s="12">
        <v>1</v>
      </c>
      <c r="I74" s="12">
        <v>1</v>
      </c>
      <c r="J74" s="12">
        <v>1</v>
      </c>
    </row>
    <row r="75" spans="3:10" x14ac:dyDescent="0.2">
      <c r="C75" s="9"/>
      <c r="D75" s="7"/>
      <c r="E75" s="7" t="s">
        <v>72</v>
      </c>
      <c r="F75" s="7" t="s">
        <v>97</v>
      </c>
      <c r="G75" s="12">
        <v>1</v>
      </c>
      <c r="H75" s="12">
        <v>1</v>
      </c>
      <c r="I75" s="12">
        <v>2</v>
      </c>
      <c r="J75" s="12">
        <v>2</v>
      </c>
    </row>
    <row r="76" spans="3:10" x14ac:dyDescent="0.2">
      <c r="C76" s="9"/>
      <c r="D76" s="6"/>
      <c r="E76" s="7" t="s">
        <v>114</v>
      </c>
      <c r="F76" s="7" t="s">
        <v>115</v>
      </c>
      <c r="G76" s="13">
        <v>1.46</v>
      </c>
      <c r="H76" s="13">
        <v>1.5</v>
      </c>
      <c r="I76" s="13">
        <v>2.95</v>
      </c>
      <c r="J76" s="13">
        <v>3.03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9b802d8b-33fa-40fb-acb7-9ffdbd1919eb}" enabled="0" method="" siteId="{9b802d8b-33fa-40fb-acb7-9ffdbd1919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Rekentool WVS-tarieven</vt:lpstr>
      <vt:lpstr>Tarieven</vt:lpstr>
    </vt:vector>
  </TitlesOfParts>
  <Company>Air France KLM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Hilten, Gert Jan van (SPLSA) - KLM</dc:creator>
  <cp:lastModifiedBy>Marjo Broertjes</cp:lastModifiedBy>
  <dcterms:created xsi:type="dcterms:W3CDTF">2022-11-06T13:37:00Z</dcterms:created>
  <dcterms:modified xsi:type="dcterms:W3CDTF">2026-01-12T08:15:23Z</dcterms:modified>
  <cp:contentStatus/>
</cp:coreProperties>
</file>